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showInkAnnotation="0" codeName="ThisWorkbook" autoCompressPictures="0"/>
  <mc:AlternateContent xmlns:mc="http://schemas.openxmlformats.org/markup-compatibility/2006">
    <mc:Choice Requires="x15">
      <x15ac:absPath xmlns:x15ac="http://schemas.microsoft.com/office/spreadsheetml/2010/11/ac" url="https://whirika.sharepoint.com/sites/ClientProjects2/Active Projects/B&amp;R/C00175 ~ OGL MP4 Consent/INTERNAL/WIP/Draft reports/"/>
    </mc:Choice>
  </mc:AlternateContent>
  <xr:revisionPtr revIDLastSave="22" documentId="8_{655F8365-EAD8-4B15-A8F4-F1E341314982}" xr6:coauthVersionLast="47" xr6:coauthVersionMax="47" xr10:uidLastSave="{609BA75D-1E3A-4703-B301-837351C4460B}"/>
  <bookViews>
    <workbookView xWindow="-120" yWindow="-120" windowWidth="29040" windowHeight="15720" tabRatio="500" activeTab="4" xr2:uid="{00000000-000D-0000-FFFF-FFFF00000000}"/>
  </bookViews>
  <sheets>
    <sheet name="Table of Contents" sheetId="14" r:id="rId1"/>
    <sheet name="Guide for Impact Model" sheetId="9" r:id="rId2"/>
    <sheet name="Guide for Offset Model" sheetId="5" r:id="rId3"/>
    <sheet name="Impact Model" sheetId="8" r:id="rId4"/>
    <sheet name="Offset Model " sheetId="3" r:id="rId5"/>
    <sheet name="Notes" sheetId="17" r:id="rId6"/>
  </sheets>
  <definedNames>
    <definedName name="Confidence">'Guide for Offset Model'!#REF!</definedName>
    <definedName name="Confident">'Guide for Offset Model'!#REF!</definedName>
    <definedName name="LowConfidence">'Guide for Offset Model'!#REF!</definedName>
    <definedName name="Unconfident">'Guide for Offset Model'!#REF!</definedName>
    <definedName name="VeryConfident">'Guide for Offset Model'!#REF!</definedName>
    <definedName name="VeryLowConfidence">'Guide for Offset Model'!#REF!</definedName>
    <definedName name="VeryUnconfident">'Guide for Offset Model'!#REF!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P167" i="3" l="1"/>
  <c r="R167" i="3"/>
  <c r="T167" i="3" s="1"/>
  <c r="L159" i="3"/>
  <c r="L160" i="3"/>
  <c r="L161" i="3"/>
  <c r="L162" i="3"/>
  <c r="L163" i="3"/>
  <c r="L251" i="3"/>
  <c r="L250" i="3"/>
  <c r="L249" i="3"/>
  <c r="L248" i="3"/>
  <c r="L247" i="3"/>
  <c r="L243" i="3"/>
  <c r="L242" i="3"/>
  <c r="L241" i="3"/>
  <c r="L240" i="3"/>
  <c r="L239" i="3"/>
  <c r="L235" i="3"/>
  <c r="L234" i="3"/>
  <c r="L233" i="3"/>
  <c r="L232" i="3"/>
  <c r="L231" i="3"/>
  <c r="L227" i="3"/>
  <c r="L226" i="3"/>
  <c r="L225" i="3"/>
  <c r="L224" i="3"/>
  <c r="L223" i="3"/>
  <c r="L219" i="3"/>
  <c r="L218" i="3"/>
  <c r="L217" i="3"/>
  <c r="L216" i="3"/>
  <c r="L215" i="3"/>
  <c r="L211" i="3"/>
  <c r="L210" i="3"/>
  <c r="L209" i="3"/>
  <c r="L208" i="3"/>
  <c r="L207" i="3"/>
  <c r="L203" i="3"/>
  <c r="L202" i="3"/>
  <c r="L201" i="3"/>
  <c r="L200" i="3"/>
  <c r="L199" i="3"/>
  <c r="L195" i="3"/>
  <c r="L194" i="3"/>
  <c r="L193" i="3"/>
  <c r="L192" i="3"/>
  <c r="L191" i="3"/>
  <c r="L187" i="3"/>
  <c r="L186" i="3"/>
  <c r="L185" i="3"/>
  <c r="L184" i="3"/>
  <c r="L183" i="3"/>
  <c r="L179" i="3"/>
  <c r="L178" i="3"/>
  <c r="L177" i="3"/>
  <c r="L176" i="3"/>
  <c r="L175" i="3"/>
  <c r="L171" i="3"/>
  <c r="L170" i="3"/>
  <c r="L169" i="3"/>
  <c r="L168" i="3"/>
  <c r="L167" i="3"/>
  <c r="L155" i="3"/>
  <c r="L154" i="3"/>
  <c r="L153" i="3"/>
  <c r="L152" i="3"/>
  <c r="L151" i="3"/>
  <c r="L147" i="3"/>
  <c r="L146" i="3"/>
  <c r="L145" i="3"/>
  <c r="L144" i="3"/>
  <c r="L143" i="3"/>
  <c r="L139" i="3"/>
  <c r="L138" i="3"/>
  <c r="L137" i="3"/>
  <c r="L136" i="3"/>
  <c r="L135" i="3"/>
  <c r="L131" i="3"/>
  <c r="L130" i="3"/>
  <c r="L129" i="3"/>
  <c r="L128" i="3"/>
  <c r="L127" i="3"/>
  <c r="L123" i="3"/>
  <c r="L122" i="3"/>
  <c r="L121" i="3"/>
  <c r="L120" i="3"/>
  <c r="L119" i="3"/>
  <c r="L115" i="3"/>
  <c r="L114" i="3"/>
  <c r="L113" i="3"/>
  <c r="L112" i="3"/>
  <c r="L111" i="3"/>
  <c r="L107" i="3"/>
  <c r="L106" i="3"/>
  <c r="L105" i="3"/>
  <c r="L104" i="3"/>
  <c r="L103" i="3"/>
  <c r="L99" i="3"/>
  <c r="L98" i="3"/>
  <c r="L97" i="3"/>
  <c r="L96" i="3"/>
  <c r="L95" i="3"/>
  <c r="L91" i="3"/>
  <c r="L90" i="3"/>
  <c r="L89" i="3"/>
  <c r="L88" i="3"/>
  <c r="L87" i="3"/>
  <c r="L83" i="3"/>
  <c r="L82" i="3"/>
  <c r="L81" i="3"/>
  <c r="L80" i="3"/>
  <c r="L79" i="3"/>
  <c r="L75" i="3"/>
  <c r="L74" i="3"/>
  <c r="L73" i="3"/>
  <c r="L72" i="3"/>
  <c r="L71" i="3"/>
  <c r="L67" i="3"/>
  <c r="L66" i="3"/>
  <c r="L65" i="3"/>
  <c r="L64" i="3"/>
  <c r="L63" i="3"/>
  <c r="L59" i="3"/>
  <c r="L58" i="3"/>
  <c r="L57" i="3"/>
  <c r="L56" i="3"/>
  <c r="L55" i="3"/>
  <c r="L51" i="3"/>
  <c r="L50" i="3"/>
  <c r="L49" i="3"/>
  <c r="L48" i="3"/>
  <c r="L47" i="3"/>
  <c r="L43" i="3"/>
  <c r="L42" i="3"/>
  <c r="L41" i="3"/>
  <c r="L40" i="3"/>
  <c r="L39" i="3"/>
  <c r="L35" i="3"/>
  <c r="L34" i="3"/>
  <c r="L33" i="3"/>
  <c r="L32" i="3"/>
  <c r="L31" i="3"/>
  <c r="L27" i="3"/>
  <c r="L26" i="3"/>
  <c r="L25" i="3"/>
  <c r="L24" i="3"/>
  <c r="L23" i="3"/>
  <c r="L19" i="3"/>
  <c r="L18" i="3"/>
  <c r="L17" i="3"/>
  <c r="L16" i="3"/>
  <c r="L15" i="3"/>
  <c r="B11" i="3"/>
  <c r="B39" i="3"/>
  <c r="D40" i="3"/>
  <c r="B15" i="8"/>
  <c r="D19" i="8"/>
  <c r="D16" i="8"/>
  <c r="D17" i="8"/>
  <c r="D18" i="8"/>
  <c r="B23" i="8"/>
  <c r="D23" i="8"/>
  <c r="D24" i="8"/>
  <c r="D26" i="8"/>
  <c r="D27" i="8"/>
  <c r="B31" i="8"/>
  <c r="D34" i="8"/>
  <c r="D32" i="8"/>
  <c r="B39" i="8"/>
  <c r="D39" i="8"/>
  <c r="D40" i="8"/>
  <c r="B47" i="8"/>
  <c r="D50" i="8"/>
  <c r="D48" i="8"/>
  <c r="D49" i="8"/>
  <c r="B55" i="8"/>
  <c r="D56" i="8"/>
  <c r="D58" i="8"/>
  <c r="B63" i="8"/>
  <c r="D64" i="8"/>
  <c r="D66" i="8"/>
  <c r="B71" i="8"/>
  <c r="D71" i="8"/>
  <c r="D72" i="8"/>
  <c r="D74" i="8"/>
  <c r="B79" i="8"/>
  <c r="D80" i="8"/>
  <c r="D81" i="8"/>
  <c r="D82" i="8"/>
  <c r="B87" i="8"/>
  <c r="D88" i="8"/>
  <c r="D90" i="8"/>
  <c r="D91" i="8"/>
  <c r="B95" i="8"/>
  <c r="D96" i="8"/>
  <c r="D98" i="8"/>
  <c r="B103" i="8"/>
  <c r="D103" i="8"/>
  <c r="D104" i="8"/>
  <c r="D106" i="8"/>
  <c r="B111" i="8"/>
  <c r="B119" i="8"/>
  <c r="D120" i="8"/>
  <c r="D122" i="8"/>
  <c r="D123" i="8"/>
  <c r="B127" i="8"/>
  <c r="B135" i="8"/>
  <c r="D135" i="8"/>
  <c r="D136" i="8"/>
  <c r="D138" i="8"/>
  <c r="B143" i="8"/>
  <c r="D147" i="8"/>
  <c r="B151" i="8"/>
  <c r="D151" i="8"/>
  <c r="D152" i="8"/>
  <c r="D153" i="8"/>
  <c r="D154" i="8"/>
  <c r="B159" i="8"/>
  <c r="D160" i="8"/>
  <c r="D162" i="8"/>
  <c r="D163" i="8"/>
  <c r="B167" i="8"/>
  <c r="D167" i="8"/>
  <c r="D168" i="8"/>
  <c r="B175" i="8"/>
  <c r="D179" i="8"/>
  <c r="D175" i="8"/>
  <c r="D176" i="8"/>
  <c r="D177" i="8"/>
  <c r="D178" i="8"/>
  <c r="B183" i="8"/>
  <c r="B191" i="8"/>
  <c r="D192" i="8"/>
  <c r="D194" i="8"/>
  <c r="D195" i="8"/>
  <c r="B199" i="8"/>
  <c r="D199" i="8"/>
  <c r="B207" i="8"/>
  <c r="D209" i="8"/>
  <c r="D207" i="8"/>
  <c r="D208" i="8"/>
  <c r="B215" i="8"/>
  <c r="D219" i="8"/>
  <c r="D216" i="8"/>
  <c r="D217" i="8"/>
  <c r="D218" i="8"/>
  <c r="B223" i="8"/>
  <c r="D223" i="8"/>
  <c r="D224" i="8"/>
  <c r="D225" i="8"/>
  <c r="D226" i="8"/>
  <c r="D227" i="8"/>
  <c r="B231" i="8"/>
  <c r="B239" i="8"/>
  <c r="D241" i="8"/>
  <c r="D239" i="8"/>
  <c r="D240" i="8"/>
  <c r="B247" i="8"/>
  <c r="D251" i="8"/>
  <c r="D248" i="8"/>
  <c r="D249" i="8"/>
  <c r="D250" i="8"/>
  <c r="D41" i="3"/>
  <c r="B247" i="3"/>
  <c r="D251" i="3"/>
  <c r="D250" i="3"/>
  <c r="D249" i="3"/>
  <c r="D248" i="3"/>
  <c r="D247" i="3"/>
  <c r="B239" i="3"/>
  <c r="D243" i="3"/>
  <c r="D241" i="3"/>
  <c r="D239" i="3"/>
  <c r="B231" i="3"/>
  <c r="D235" i="3"/>
  <c r="D234" i="3"/>
  <c r="D233" i="3"/>
  <c r="D232" i="3"/>
  <c r="D231" i="3"/>
  <c r="B223" i="3"/>
  <c r="B215" i="3"/>
  <c r="D218" i="3"/>
  <c r="D219" i="3"/>
  <c r="D217" i="3"/>
  <c r="D215" i="3"/>
  <c r="B207" i="3"/>
  <c r="D211" i="3"/>
  <c r="D210" i="3"/>
  <c r="D209" i="3"/>
  <c r="D208" i="3"/>
  <c r="D207" i="3"/>
  <c r="B199" i="3"/>
  <c r="D203" i="3"/>
  <c r="D201" i="3"/>
  <c r="B191" i="3"/>
  <c r="D194" i="3"/>
  <c r="D195" i="3"/>
  <c r="D193" i="3"/>
  <c r="D191" i="3"/>
  <c r="B183" i="3"/>
  <c r="D187" i="3"/>
  <c r="D186" i="3"/>
  <c r="D185" i="3"/>
  <c r="D184" i="3"/>
  <c r="D183" i="3"/>
  <c r="B175" i="3"/>
  <c r="D179" i="3"/>
  <c r="D178" i="3"/>
  <c r="D177" i="3"/>
  <c r="D176" i="3"/>
  <c r="D175" i="3"/>
  <c r="B167" i="3"/>
  <c r="D170" i="3"/>
  <c r="D168" i="3"/>
  <c r="B159" i="3"/>
  <c r="B151" i="3"/>
  <c r="D155" i="3"/>
  <c r="D153" i="3"/>
  <c r="D151" i="3"/>
  <c r="B143" i="3"/>
  <c r="D147" i="3"/>
  <c r="D146" i="3"/>
  <c r="D145" i="3"/>
  <c r="D144" i="3"/>
  <c r="D143" i="3"/>
  <c r="B135" i="3"/>
  <c r="D139" i="3"/>
  <c r="B127" i="3"/>
  <c r="D130" i="3"/>
  <c r="D131" i="3"/>
  <c r="D129" i="3"/>
  <c r="D127" i="3"/>
  <c r="B119" i="3"/>
  <c r="D123" i="3"/>
  <c r="D122" i="3"/>
  <c r="D121" i="3"/>
  <c r="D120" i="3"/>
  <c r="D119" i="3"/>
  <c r="B111" i="3"/>
  <c r="D115" i="3"/>
  <c r="D114" i="3"/>
  <c r="D113" i="3"/>
  <c r="D112" i="3"/>
  <c r="D111" i="3"/>
  <c r="B103" i="3"/>
  <c r="B95" i="3"/>
  <c r="D98" i="3"/>
  <c r="B87" i="3"/>
  <c r="D89" i="3"/>
  <c r="D87" i="3"/>
  <c r="B79" i="3"/>
  <c r="D81" i="3"/>
  <c r="D79" i="3"/>
  <c r="B71" i="3"/>
  <c r="D75" i="3"/>
  <c r="D71" i="3"/>
  <c r="B63" i="3"/>
  <c r="D66" i="3"/>
  <c r="D67" i="3"/>
  <c r="D65" i="3"/>
  <c r="D63" i="3"/>
  <c r="B55" i="3"/>
  <c r="D59" i="3"/>
  <c r="D58" i="3"/>
  <c r="D57" i="3"/>
  <c r="D56" i="3"/>
  <c r="D55" i="3"/>
  <c r="B47" i="3"/>
  <c r="D51" i="3"/>
  <c r="D50" i="3"/>
  <c r="D49" i="3"/>
  <c r="D48" i="3"/>
  <c r="D47" i="3"/>
  <c r="D43" i="3"/>
  <c r="D42" i="3"/>
  <c r="D39" i="3"/>
  <c r="B31" i="3"/>
  <c r="D35" i="3"/>
  <c r="D31" i="3"/>
  <c r="K31" i="8"/>
  <c r="B23" i="3"/>
  <c r="D25" i="3"/>
  <c r="D26" i="3"/>
  <c r="K25" i="8"/>
  <c r="D24" i="3"/>
  <c r="K24" i="8"/>
  <c r="K23" i="8"/>
  <c r="B15" i="3"/>
  <c r="D18" i="3"/>
  <c r="D19" i="3"/>
  <c r="K19" i="8"/>
  <c r="K18" i="8"/>
  <c r="D17" i="3"/>
  <c r="K17" i="8"/>
  <c r="D16" i="3"/>
  <c r="K16" i="8"/>
  <c r="D15" i="3"/>
  <c r="K15" i="8"/>
  <c r="R247" i="3"/>
  <c r="T247" i="3" s="1"/>
  <c r="R239" i="3"/>
  <c r="T239" i="3" s="1"/>
  <c r="R231" i="3"/>
  <c r="T231" i="3" s="1"/>
  <c r="R223" i="3"/>
  <c r="T223" i="3" s="1"/>
  <c r="R215" i="3"/>
  <c r="T215" i="3" s="1"/>
  <c r="R207" i="3"/>
  <c r="T207" i="3" s="1"/>
  <c r="R199" i="3"/>
  <c r="T199" i="3" s="1"/>
  <c r="R191" i="3"/>
  <c r="T191" i="3" s="1"/>
  <c r="R183" i="3"/>
  <c r="T183" i="3" s="1"/>
  <c r="R175" i="3"/>
  <c r="T175" i="3" s="1"/>
  <c r="R159" i="3"/>
  <c r="T159" i="3" s="1"/>
  <c r="R151" i="3"/>
  <c r="T151" i="3" s="1"/>
  <c r="R143" i="3"/>
  <c r="T143" i="3" s="1"/>
  <c r="R135" i="3"/>
  <c r="T135" i="3" s="1"/>
  <c r="R127" i="3"/>
  <c r="T127" i="3" s="1"/>
  <c r="R119" i="3"/>
  <c r="T119" i="3" s="1"/>
  <c r="R111" i="3"/>
  <c r="T111" i="3" s="1"/>
  <c r="R103" i="3"/>
  <c r="T103" i="3" s="1"/>
  <c r="R95" i="3"/>
  <c r="T95" i="3" s="1"/>
  <c r="R87" i="3"/>
  <c r="T87" i="3" s="1"/>
  <c r="R79" i="3"/>
  <c r="T79" i="3" s="1"/>
  <c r="R71" i="3"/>
  <c r="T71" i="3" s="1"/>
  <c r="R63" i="3"/>
  <c r="T63" i="3" s="1"/>
  <c r="R55" i="3"/>
  <c r="T55" i="3" s="1"/>
  <c r="R47" i="3"/>
  <c r="T47" i="3" s="1"/>
  <c r="C23" i="3"/>
  <c r="C15" i="3"/>
  <c r="K251" i="8"/>
  <c r="K250" i="8"/>
  <c r="K249" i="8"/>
  <c r="K248" i="8"/>
  <c r="K247" i="8"/>
  <c r="K243" i="8"/>
  <c r="K242" i="8"/>
  <c r="K241" i="8"/>
  <c r="K240" i="8"/>
  <c r="K239" i="8"/>
  <c r="K235" i="8"/>
  <c r="K234" i="8"/>
  <c r="K233" i="8"/>
  <c r="K232" i="8"/>
  <c r="K231" i="8"/>
  <c r="K227" i="8"/>
  <c r="K226" i="8"/>
  <c r="K225" i="8"/>
  <c r="K224" i="8"/>
  <c r="K223" i="8"/>
  <c r="K219" i="8"/>
  <c r="K218" i="8"/>
  <c r="K217" i="8"/>
  <c r="K216" i="8"/>
  <c r="K215" i="8"/>
  <c r="K211" i="8"/>
  <c r="K210" i="8"/>
  <c r="K209" i="8"/>
  <c r="K208" i="8"/>
  <c r="K207" i="8"/>
  <c r="K203" i="8"/>
  <c r="K202" i="8"/>
  <c r="K201" i="8"/>
  <c r="K200" i="8"/>
  <c r="K199" i="8"/>
  <c r="K195" i="8"/>
  <c r="K194" i="8"/>
  <c r="K193" i="8"/>
  <c r="K192" i="8"/>
  <c r="K191" i="8"/>
  <c r="K187" i="8"/>
  <c r="K186" i="8"/>
  <c r="K185" i="8"/>
  <c r="K184" i="8"/>
  <c r="K183" i="8"/>
  <c r="K179" i="8"/>
  <c r="K178" i="8"/>
  <c r="K177" i="8"/>
  <c r="K176" i="8"/>
  <c r="K175" i="8"/>
  <c r="K171" i="8"/>
  <c r="K170" i="8"/>
  <c r="K169" i="8"/>
  <c r="K168" i="8"/>
  <c r="K167" i="8"/>
  <c r="K163" i="8"/>
  <c r="K162" i="8"/>
  <c r="K161" i="8"/>
  <c r="K160" i="8"/>
  <c r="K159" i="8"/>
  <c r="K155" i="8"/>
  <c r="K154" i="8"/>
  <c r="K153" i="8"/>
  <c r="K152" i="8"/>
  <c r="K151" i="8"/>
  <c r="K147" i="8"/>
  <c r="K146" i="8"/>
  <c r="K145" i="8"/>
  <c r="K144" i="8"/>
  <c r="K143" i="8"/>
  <c r="K139" i="8"/>
  <c r="K138" i="8"/>
  <c r="K137" i="8"/>
  <c r="K136" i="8"/>
  <c r="K135" i="8"/>
  <c r="K131" i="8"/>
  <c r="K130" i="8"/>
  <c r="K129" i="8"/>
  <c r="K128" i="8"/>
  <c r="K127" i="8"/>
  <c r="K123" i="8"/>
  <c r="K122" i="8"/>
  <c r="K121" i="8"/>
  <c r="K120" i="8"/>
  <c r="K119" i="8"/>
  <c r="K115" i="8"/>
  <c r="K114" i="8"/>
  <c r="K113" i="8"/>
  <c r="K112" i="8"/>
  <c r="K111" i="8"/>
  <c r="K107" i="8"/>
  <c r="K106" i="8"/>
  <c r="K105" i="8"/>
  <c r="K104" i="8"/>
  <c r="K103" i="8"/>
  <c r="K99" i="8"/>
  <c r="K98" i="8"/>
  <c r="K97" i="8"/>
  <c r="K96" i="8"/>
  <c r="K95" i="8"/>
  <c r="K91" i="8"/>
  <c r="K90" i="8"/>
  <c r="K89" i="8"/>
  <c r="K88" i="8"/>
  <c r="K87" i="8"/>
  <c r="K83" i="8"/>
  <c r="K82" i="8"/>
  <c r="K81" i="8"/>
  <c r="K80" i="8"/>
  <c r="K79" i="8"/>
  <c r="K75" i="8"/>
  <c r="K74" i="8"/>
  <c r="K73" i="8"/>
  <c r="K72" i="8"/>
  <c r="K71" i="8"/>
  <c r="K67" i="8"/>
  <c r="K66" i="8"/>
  <c r="K65" i="8"/>
  <c r="K64" i="8"/>
  <c r="K63" i="8"/>
  <c r="K59" i="8"/>
  <c r="K58" i="8"/>
  <c r="K57" i="8"/>
  <c r="K56" i="8"/>
  <c r="K55" i="8"/>
  <c r="K51" i="8"/>
  <c r="K50" i="8"/>
  <c r="K49" i="8"/>
  <c r="K48" i="8"/>
  <c r="K47" i="8"/>
  <c r="K43" i="8"/>
  <c r="K42" i="8"/>
  <c r="K41" i="8"/>
  <c r="K40" i="8"/>
  <c r="K39" i="8"/>
  <c r="K35" i="8"/>
  <c r="K34" i="8"/>
  <c r="K33" i="8"/>
  <c r="K32" i="8"/>
  <c r="K27" i="8"/>
  <c r="K26" i="8"/>
  <c r="C11" i="3"/>
  <c r="C247" i="3"/>
  <c r="C239" i="3"/>
  <c r="C231" i="3"/>
  <c r="C223" i="3"/>
  <c r="C215" i="3"/>
  <c r="C207" i="3"/>
  <c r="C199" i="3"/>
  <c r="C191" i="3"/>
  <c r="C183" i="3"/>
  <c r="C175" i="3"/>
  <c r="C167" i="3"/>
  <c r="C159" i="3"/>
  <c r="C151" i="3"/>
  <c r="C143" i="3"/>
  <c r="C135" i="3"/>
  <c r="C127" i="3"/>
  <c r="C119" i="3"/>
  <c r="C111" i="3"/>
  <c r="C103" i="3"/>
  <c r="C95" i="3"/>
  <c r="C87" i="3"/>
  <c r="C79" i="3"/>
  <c r="C71" i="3"/>
  <c r="C63" i="3"/>
  <c r="C55" i="3"/>
  <c r="C47" i="3"/>
  <c r="C39" i="3"/>
  <c r="C31" i="3"/>
  <c r="R251" i="3"/>
  <c r="R250" i="3"/>
  <c r="R249" i="3"/>
  <c r="R248" i="3"/>
  <c r="R243" i="3"/>
  <c r="R242" i="3"/>
  <c r="R241" i="3"/>
  <c r="R240" i="3"/>
  <c r="R235" i="3"/>
  <c r="R234" i="3"/>
  <c r="R233" i="3"/>
  <c r="R232" i="3"/>
  <c r="R227" i="3"/>
  <c r="R226" i="3"/>
  <c r="R225" i="3"/>
  <c r="R224" i="3"/>
  <c r="R219" i="3"/>
  <c r="R218" i="3"/>
  <c r="R217" i="3"/>
  <c r="R216" i="3"/>
  <c r="R211" i="3"/>
  <c r="R210" i="3"/>
  <c r="R209" i="3"/>
  <c r="R208" i="3"/>
  <c r="R203" i="3"/>
  <c r="R202" i="3"/>
  <c r="R201" i="3"/>
  <c r="R200" i="3"/>
  <c r="R195" i="3"/>
  <c r="R194" i="3"/>
  <c r="R193" i="3"/>
  <c r="R192" i="3"/>
  <c r="R187" i="3"/>
  <c r="R186" i="3"/>
  <c r="R185" i="3"/>
  <c r="R184" i="3"/>
  <c r="R179" i="3"/>
  <c r="R178" i="3"/>
  <c r="R177" i="3"/>
  <c r="R176" i="3"/>
  <c r="R171" i="3"/>
  <c r="R170" i="3"/>
  <c r="P169" i="3"/>
  <c r="R169" i="3"/>
  <c r="R168" i="3"/>
  <c r="R163" i="3"/>
  <c r="R162" i="3"/>
  <c r="R161" i="3"/>
  <c r="R160" i="3"/>
  <c r="R155" i="3"/>
  <c r="R154" i="3"/>
  <c r="R153" i="3"/>
  <c r="R152" i="3"/>
  <c r="R147" i="3"/>
  <c r="R146" i="3"/>
  <c r="R145" i="3"/>
  <c r="R144" i="3"/>
  <c r="R139" i="3"/>
  <c r="R138" i="3"/>
  <c r="R137" i="3"/>
  <c r="R136" i="3"/>
  <c r="R131" i="3"/>
  <c r="R130" i="3"/>
  <c r="R129" i="3"/>
  <c r="R128" i="3"/>
  <c r="R123" i="3"/>
  <c r="R122" i="3"/>
  <c r="R121" i="3"/>
  <c r="R120" i="3"/>
  <c r="R115" i="3"/>
  <c r="R114" i="3"/>
  <c r="R113" i="3"/>
  <c r="R112" i="3"/>
  <c r="R107" i="3"/>
  <c r="R106" i="3"/>
  <c r="R105" i="3"/>
  <c r="R104" i="3"/>
  <c r="R99" i="3"/>
  <c r="R98" i="3"/>
  <c r="R97" i="3"/>
  <c r="R96" i="3"/>
  <c r="R91" i="3"/>
  <c r="R90" i="3"/>
  <c r="R89" i="3"/>
  <c r="R88" i="3"/>
  <c r="R83" i="3"/>
  <c r="R82" i="3"/>
  <c r="R81" i="3"/>
  <c r="R80" i="3"/>
  <c r="R75" i="3"/>
  <c r="R74" i="3"/>
  <c r="R73" i="3"/>
  <c r="R72" i="3"/>
  <c r="R67" i="3"/>
  <c r="R66" i="3"/>
  <c r="R65" i="3"/>
  <c r="R64" i="3"/>
  <c r="R59" i="3"/>
  <c r="R58" i="3"/>
  <c r="R57" i="3"/>
  <c r="R56" i="3"/>
  <c r="R51" i="3"/>
  <c r="R50" i="3"/>
  <c r="R49" i="3"/>
  <c r="R48" i="3"/>
  <c r="R43" i="3"/>
  <c r="R42" i="3"/>
  <c r="R41" i="3"/>
  <c r="P40" i="3"/>
  <c r="R40" i="3"/>
  <c r="R35" i="3"/>
  <c r="R34" i="3"/>
  <c r="R33" i="3"/>
  <c r="R32" i="3"/>
  <c r="P179" i="3"/>
  <c r="R19" i="3"/>
  <c r="P19" i="3"/>
  <c r="R18" i="3"/>
  <c r="P18" i="3"/>
  <c r="R17" i="3"/>
  <c r="P17" i="3"/>
  <c r="P16" i="3"/>
  <c r="R16" i="3"/>
  <c r="P251" i="3"/>
  <c r="P250" i="3"/>
  <c r="P249" i="3"/>
  <c r="P248" i="3"/>
  <c r="P247" i="3"/>
  <c r="P243" i="3"/>
  <c r="P242" i="3"/>
  <c r="P241" i="3"/>
  <c r="P240" i="3"/>
  <c r="P239" i="3"/>
  <c r="P235" i="3"/>
  <c r="P234" i="3"/>
  <c r="P233" i="3"/>
  <c r="P232" i="3"/>
  <c r="P231" i="3"/>
  <c r="P227" i="3"/>
  <c r="P226" i="3"/>
  <c r="P225" i="3"/>
  <c r="P224" i="3"/>
  <c r="P223" i="3"/>
  <c r="P219" i="3"/>
  <c r="P218" i="3"/>
  <c r="P217" i="3"/>
  <c r="P216" i="3"/>
  <c r="P215" i="3"/>
  <c r="P211" i="3"/>
  <c r="P210" i="3"/>
  <c r="P209" i="3"/>
  <c r="P208" i="3"/>
  <c r="P207" i="3"/>
  <c r="P203" i="3"/>
  <c r="P202" i="3"/>
  <c r="P201" i="3"/>
  <c r="P200" i="3"/>
  <c r="P199" i="3"/>
  <c r="P195" i="3"/>
  <c r="P194" i="3"/>
  <c r="P193" i="3"/>
  <c r="P192" i="3"/>
  <c r="P191" i="3"/>
  <c r="P187" i="3"/>
  <c r="P186" i="3"/>
  <c r="P185" i="3"/>
  <c r="P184" i="3"/>
  <c r="P183" i="3"/>
  <c r="P178" i="3"/>
  <c r="P177" i="3"/>
  <c r="P176" i="3"/>
  <c r="P175" i="3"/>
  <c r="P171" i="3"/>
  <c r="P170" i="3"/>
  <c r="P168" i="3"/>
  <c r="P163" i="3"/>
  <c r="P162" i="3"/>
  <c r="P161" i="3"/>
  <c r="P160" i="3"/>
  <c r="P159" i="3"/>
  <c r="P155" i="3"/>
  <c r="P154" i="3"/>
  <c r="P153" i="3"/>
  <c r="P152" i="3"/>
  <c r="P151" i="3"/>
  <c r="P147" i="3"/>
  <c r="P146" i="3"/>
  <c r="P145" i="3"/>
  <c r="P144" i="3"/>
  <c r="P143" i="3"/>
  <c r="P139" i="3"/>
  <c r="P138" i="3"/>
  <c r="P137" i="3"/>
  <c r="P136" i="3"/>
  <c r="P135" i="3"/>
  <c r="P131" i="3"/>
  <c r="P130" i="3"/>
  <c r="P129" i="3"/>
  <c r="P128" i="3"/>
  <c r="P127" i="3"/>
  <c r="P123" i="3"/>
  <c r="P122" i="3"/>
  <c r="P121" i="3"/>
  <c r="P120" i="3"/>
  <c r="P119" i="3"/>
  <c r="P115" i="3"/>
  <c r="P114" i="3"/>
  <c r="P113" i="3"/>
  <c r="P112" i="3"/>
  <c r="P111" i="3"/>
  <c r="P107" i="3"/>
  <c r="P106" i="3"/>
  <c r="P105" i="3"/>
  <c r="P104" i="3"/>
  <c r="P103" i="3"/>
  <c r="P99" i="3"/>
  <c r="P98" i="3"/>
  <c r="P97" i="3"/>
  <c r="P96" i="3"/>
  <c r="P95" i="3"/>
  <c r="P91" i="3"/>
  <c r="P90" i="3"/>
  <c r="P89" i="3"/>
  <c r="P88" i="3"/>
  <c r="P87" i="3"/>
  <c r="P83" i="3"/>
  <c r="P82" i="3"/>
  <c r="P81" i="3"/>
  <c r="P80" i="3"/>
  <c r="P79" i="3"/>
  <c r="P75" i="3"/>
  <c r="P74" i="3"/>
  <c r="P73" i="3"/>
  <c r="P72" i="3"/>
  <c r="P71" i="3"/>
  <c r="P67" i="3"/>
  <c r="P66" i="3"/>
  <c r="P65" i="3"/>
  <c r="P64" i="3"/>
  <c r="P63" i="3"/>
  <c r="P59" i="3"/>
  <c r="P58" i="3"/>
  <c r="P57" i="3"/>
  <c r="P56" i="3"/>
  <c r="P55" i="3"/>
  <c r="P51" i="3"/>
  <c r="P50" i="3"/>
  <c r="P49" i="3"/>
  <c r="P48" i="3"/>
  <c r="P47" i="3"/>
  <c r="P43" i="3"/>
  <c r="P42" i="3"/>
  <c r="P41" i="3"/>
  <c r="P35" i="3"/>
  <c r="P34" i="3"/>
  <c r="P33" i="3"/>
  <c r="P32" i="3"/>
  <c r="R27" i="3"/>
  <c r="P27" i="3"/>
  <c r="P26" i="3"/>
  <c r="R26" i="3"/>
  <c r="R25" i="3"/>
  <c r="P25" i="3"/>
  <c r="R24" i="3"/>
  <c r="P24" i="3"/>
  <c r="D15" i="8"/>
  <c r="E17" i="3"/>
  <c r="Q17" i="3" s="1" a="1"/>
  <c r="Q17" i="3" s="1"/>
  <c r="D107" i="3"/>
  <c r="D105" i="3"/>
  <c r="D103" i="3"/>
  <c r="D104" i="3"/>
  <c r="D106" i="3"/>
  <c r="E24" i="3"/>
  <c r="Q24" i="3" s="1" a="1"/>
  <c r="Q24" i="3" s="1"/>
  <c r="D138" i="3"/>
  <c r="D136" i="3"/>
  <c r="D135" i="3"/>
  <c r="D137" i="3"/>
  <c r="D25" i="8"/>
  <c r="E25" i="3"/>
  <c r="F25" i="3" s="1" a="1"/>
  <c r="F25" i="3" s="1"/>
  <c r="D31" i="8"/>
  <c r="D33" i="8"/>
  <c r="D35" i="8"/>
  <c r="E35" i="3"/>
  <c r="G35" i="3" s="1" a="1"/>
  <c r="G35" i="3" s="1"/>
  <c r="D163" i="3"/>
  <c r="D161" i="3"/>
  <c r="D159" i="3"/>
  <c r="D162" i="3"/>
  <c r="D160" i="3"/>
  <c r="D82" i="3"/>
  <c r="D90" i="3"/>
  <c r="D99" i="3"/>
  <c r="D97" i="3"/>
  <c r="D95" i="3"/>
  <c r="D41" i="8"/>
  <c r="D42" i="8"/>
  <c r="D43" i="8"/>
  <c r="D47" i="8"/>
  <c r="D51" i="8"/>
  <c r="D55" i="8"/>
  <c r="D57" i="8"/>
  <c r="D59" i="8"/>
  <c r="D63" i="8"/>
  <c r="D65" i="8"/>
  <c r="D67" i="8"/>
  <c r="D73" i="8"/>
  <c r="D75" i="8"/>
  <c r="D79" i="8"/>
  <c r="D83" i="8"/>
  <c r="D87" i="8"/>
  <c r="D89" i="8"/>
  <c r="D95" i="8"/>
  <c r="D97" i="8"/>
  <c r="D99" i="8"/>
  <c r="D105" i="8"/>
  <c r="D107" i="8"/>
  <c r="D111" i="8"/>
  <c r="D112" i="8"/>
  <c r="D113" i="8"/>
  <c r="D114" i="8"/>
  <c r="D115" i="8"/>
  <c r="D119" i="8"/>
  <c r="D121" i="8"/>
  <c r="D127" i="8"/>
  <c r="D128" i="8"/>
  <c r="D129" i="8"/>
  <c r="D130" i="8"/>
  <c r="D131" i="8"/>
  <c r="D137" i="8"/>
  <c r="D139" i="8"/>
  <c r="D143" i="8"/>
  <c r="D144" i="8"/>
  <c r="D145" i="8"/>
  <c r="D146" i="8"/>
  <c r="D155" i="8"/>
  <c r="D159" i="8"/>
  <c r="D161" i="8"/>
  <c r="D169" i="8"/>
  <c r="D170" i="8"/>
  <c r="D171" i="8"/>
  <c r="D183" i="8"/>
  <c r="D184" i="8"/>
  <c r="D185" i="8"/>
  <c r="D186" i="8"/>
  <c r="D187" i="8"/>
  <c r="D191" i="8"/>
  <c r="D193" i="8"/>
  <c r="D200" i="8"/>
  <c r="D201" i="8"/>
  <c r="D202" i="8"/>
  <c r="D203" i="8"/>
  <c r="D210" i="8"/>
  <c r="D211" i="8"/>
  <c r="D215" i="8"/>
  <c r="D231" i="8"/>
  <c r="D232" i="8"/>
  <c r="D233" i="8"/>
  <c r="D234" i="8"/>
  <c r="D235" i="8"/>
  <c r="D242" i="8"/>
  <c r="D243" i="8"/>
  <c r="D247" i="8"/>
  <c r="E249" i="3"/>
  <c r="F249" i="3" s="1" a="1"/>
  <c r="F249" i="3" s="1"/>
  <c r="D27" i="3"/>
  <c r="E48" i="3"/>
  <c r="F48" i="3" s="1" a="1"/>
  <c r="F48" i="3" s="1"/>
  <c r="D96" i="3"/>
  <c r="D34" i="3"/>
  <c r="D32" i="3"/>
  <c r="D80" i="3"/>
  <c r="D88" i="3"/>
  <c r="D23" i="3"/>
  <c r="D33" i="3"/>
  <c r="D83" i="3"/>
  <c r="D91" i="3"/>
  <c r="D154" i="3"/>
  <c r="D152" i="3"/>
  <c r="D199" i="3"/>
  <c r="D242" i="3"/>
  <c r="D240" i="3"/>
  <c r="D74" i="3"/>
  <c r="D72" i="3"/>
  <c r="D202" i="3"/>
  <c r="D200" i="3"/>
  <c r="D73" i="3"/>
  <c r="D171" i="3"/>
  <c r="D169" i="3"/>
  <c r="D167" i="3"/>
  <c r="D227" i="3"/>
  <c r="D225" i="3"/>
  <c r="D223" i="3"/>
  <c r="D226" i="3"/>
  <c r="D224" i="3"/>
  <c r="D216" i="3"/>
  <c r="D64" i="3"/>
  <c r="D128" i="3"/>
  <c r="D192" i="3"/>
  <c r="E155" i="3"/>
  <c r="F155" i="3" s="1" a="1"/>
  <c r="F155" i="3" s="1"/>
  <c r="E167" i="3"/>
  <c r="Q167" i="3" s="1" a="1"/>
  <c r="Q167" i="3" s="1"/>
  <c r="E186" i="3"/>
  <c r="E243" i="3"/>
  <c r="G243" i="3" s="1" a="1"/>
  <c r="G243" i="3" s="1"/>
  <c r="E59" i="3"/>
  <c r="F59" i="3" s="1" a="1"/>
  <c r="F59" i="3" s="1"/>
  <c r="E168" i="3"/>
  <c r="F168" i="3" s="1" a="1"/>
  <c r="F168" i="3" s="1"/>
  <c r="E240" i="3"/>
  <c r="G240" i="3" s="1" a="1"/>
  <c r="G240" i="3" s="1"/>
  <c r="E32" i="3"/>
  <c r="G32" i="3" s="1" a="1"/>
  <c r="G32" i="3" s="1"/>
  <c r="E145" i="3"/>
  <c r="G145" i="3" s="1" a="1"/>
  <c r="G145" i="3" s="1"/>
  <c r="E177" i="3"/>
  <c r="F177" i="3" s="1" a="1"/>
  <c r="F177" i="3" s="1"/>
  <c r="E91" i="3"/>
  <c r="G91" i="3" s="1" a="1"/>
  <c r="G91" i="3" s="1"/>
  <c r="E81" i="3"/>
  <c r="F81" i="3" s="1" a="1"/>
  <c r="F81" i="3" s="1"/>
  <c r="E171" i="3"/>
  <c r="F171" i="3" s="1" a="1"/>
  <c r="F171" i="3" s="1"/>
  <c r="E147" i="3"/>
  <c r="Q147" i="3" s="1" a="1"/>
  <c r="Q147" i="3" s="1"/>
  <c r="E27" i="3"/>
  <c r="E97" i="3"/>
  <c r="F97" i="3" s="1" a="1"/>
  <c r="F97" i="3" s="1"/>
  <c r="E18" i="3"/>
  <c r="F18" i="3" s="1" a="1"/>
  <c r="F18" i="3" s="1"/>
  <c r="E138" i="3"/>
  <c r="Q138" i="3" s="1" a="1"/>
  <c r="Q138" i="3" s="1"/>
  <c r="E115" i="3"/>
  <c r="G115" i="3" s="1" a="1"/>
  <c r="G115" i="3" s="1"/>
  <c r="E192" i="3"/>
  <c r="F192" i="3" s="1" a="1"/>
  <c r="F192" i="3" s="1"/>
  <c r="E216" i="3"/>
  <c r="Q216" i="3" s="1" a="1"/>
  <c r="Q216" i="3" s="1"/>
  <c r="E226" i="3"/>
  <c r="G226" i="3" s="1" a="1"/>
  <c r="G226" i="3" s="1"/>
  <c r="E199" i="3"/>
  <c r="Q199" i="3" s="1" a="1"/>
  <c r="Q199" i="3" s="1"/>
  <c r="E43" i="3"/>
  <c r="G43" i="3" s="1" a="1"/>
  <c r="G43" i="3" s="1"/>
  <c r="E88" i="3"/>
  <c r="F88" i="3" s="1" a="1"/>
  <c r="F88" i="3" s="1"/>
  <c r="E99" i="3"/>
  <c r="G99" i="3" s="1" a="1"/>
  <c r="G99" i="3" s="1"/>
  <c r="E159" i="3"/>
  <c r="Q159" i="3" s="1" a="1"/>
  <c r="Q159" i="3" s="1"/>
  <c r="E129" i="3"/>
  <c r="Q129" i="3" s="1" a="1"/>
  <c r="Q129" i="3" s="1"/>
  <c r="E211" i="3"/>
  <c r="Q211" i="3" s="1" a="1"/>
  <c r="Q211" i="3" s="1"/>
  <c r="E57" i="3"/>
  <c r="Q57" i="3" s="1" a="1"/>
  <c r="Q57" i="3" s="1"/>
  <c r="E210" i="3"/>
  <c r="Q210" i="3" s="1" a="1"/>
  <c r="Q210" i="3" s="1"/>
  <c r="E106" i="3"/>
  <c r="Q106" i="3" s="1" a="1"/>
  <c r="Q106" i="3" s="1"/>
  <c r="E79" i="3"/>
  <c r="F79" i="3" s="1" a="1"/>
  <c r="F79" i="3" s="1"/>
  <c r="E95" i="3"/>
  <c r="Q95" i="3" s="1" a="1"/>
  <c r="Q95" i="3" s="1"/>
  <c r="E215" i="3"/>
  <c r="Q215" i="3" s="1" a="1"/>
  <c r="Q215" i="3" s="1"/>
  <c r="E139" i="3"/>
  <c r="G139" i="3" s="1" a="1"/>
  <c r="G139" i="3" s="1"/>
  <c r="E71" i="3"/>
  <c r="G71" i="3" s="1" a="1"/>
  <c r="G71" i="3" s="1"/>
  <c r="E248" i="3"/>
  <c r="Q248" i="3" s="1" a="1"/>
  <c r="Q248" i="3" s="1"/>
  <c r="E224" i="3"/>
  <c r="G224" i="3" s="1" a="1"/>
  <c r="G224" i="3" s="1"/>
  <c r="E83" i="3"/>
  <c r="F83" i="3" s="1" a="1"/>
  <c r="F83" i="3" s="1"/>
  <c r="E176" i="3"/>
  <c r="G176" i="3" s="1" a="1"/>
  <c r="G176" i="3" s="1"/>
  <c r="E194" i="3"/>
  <c r="E162" i="3"/>
  <c r="F162" i="3" s="1" a="1"/>
  <c r="F162" i="3" s="1"/>
  <c r="E207" i="3"/>
  <c r="F207" i="3" s="1" a="1"/>
  <c r="F207" i="3" s="1"/>
  <c r="E234" i="3"/>
  <c r="G234" i="3" s="1" a="1"/>
  <c r="G234" i="3" s="1"/>
  <c r="E89" i="3"/>
  <c r="Q89" i="3" s="1" a="1"/>
  <c r="Q89" i="3" s="1"/>
  <c r="E128" i="3"/>
  <c r="F128" i="3" s="1" a="1"/>
  <c r="F128" i="3" s="1"/>
  <c r="E223" i="3"/>
  <c r="F223" i="3" s="1" a="1"/>
  <c r="F223" i="3" s="1"/>
  <c r="E33" i="3"/>
  <c r="Q33" i="3" s="1" a="1"/>
  <c r="Q33" i="3" s="1"/>
  <c r="E80" i="3"/>
  <c r="Q80" i="3" s="1" a="1"/>
  <c r="Q80" i="3" s="1"/>
  <c r="E90" i="3"/>
  <c r="E161" i="3"/>
  <c r="F161" i="3" s="1" a="1"/>
  <c r="F161" i="3" s="1"/>
  <c r="E239" i="3"/>
  <c r="F239" i="3" s="1" a="1"/>
  <c r="F239" i="3" s="1"/>
  <c r="E144" i="3"/>
  <c r="G144" i="3" s="1" a="1"/>
  <c r="G144" i="3" s="1"/>
  <c r="E16" i="3"/>
  <c r="F16" i="3" s="1" a="1"/>
  <c r="F16" i="3" s="1"/>
  <c r="E203" i="3"/>
  <c r="G203" i="3" s="1" a="1"/>
  <c r="G203" i="3" s="1"/>
  <c r="E51" i="3"/>
  <c r="G51" i="3" s="1" a="1"/>
  <c r="G51" i="3" s="1"/>
  <c r="E201" i="3"/>
  <c r="F201" i="3" s="1" a="1"/>
  <c r="F201" i="3" s="1"/>
  <c r="E179" i="3"/>
  <c r="F179" i="3" s="1" a="1"/>
  <c r="F179" i="3" s="1"/>
  <c r="E49" i="3"/>
  <c r="F49" i="3" s="1" a="1"/>
  <c r="F49" i="3" s="1"/>
  <c r="E104" i="3"/>
  <c r="Q104" i="3" s="1" a="1"/>
  <c r="Q104" i="3" s="1"/>
  <c r="E135" i="3"/>
  <c r="Q135" i="3" s="1" a="1"/>
  <c r="Q135" i="3" s="1"/>
  <c r="E242" i="3"/>
  <c r="F242" i="3" s="1" a="1"/>
  <c r="F242" i="3" s="1"/>
  <c r="E34" i="3"/>
  <c r="G34" i="3" s="1" a="1"/>
  <c r="G34" i="3" s="1"/>
  <c r="E160" i="3"/>
  <c r="F160" i="3" s="1" a="1"/>
  <c r="F160" i="3" s="1"/>
  <c r="E178" i="3"/>
  <c r="G178" i="3" s="1" a="1"/>
  <c r="G178" i="3" s="1"/>
  <c r="E64" i="3"/>
  <c r="F64" i="3" s="1" a="1"/>
  <c r="F64" i="3" s="1"/>
  <c r="E251" i="3"/>
  <c r="G251" i="3" s="1" a="1"/>
  <c r="G251" i="3" s="1"/>
  <c r="E225" i="3"/>
  <c r="G225" i="3" s="1" a="1"/>
  <c r="G225" i="3" s="1"/>
  <c r="E200" i="3"/>
  <c r="G200" i="3" s="1" a="1"/>
  <c r="G200" i="3" s="1"/>
  <c r="E23" i="3"/>
  <c r="Q23" i="3" s="1" a="1"/>
  <c r="Q23" i="3" s="1"/>
  <c r="E143" i="3"/>
  <c r="E163" i="3"/>
  <c r="F163" i="3" s="1" a="1"/>
  <c r="F163" i="3" s="1"/>
  <c r="E26" i="3"/>
  <c r="G26" i="3" s="1" a="1"/>
  <c r="G26" i="3" s="1"/>
  <c r="E170" i="3"/>
  <c r="G170" i="3" s="1" a="1"/>
  <c r="G170" i="3" s="1"/>
  <c r="E55" i="3"/>
  <c r="F55" i="3" s="1" a="1"/>
  <c r="F55" i="3" s="1"/>
  <c r="E247" i="3"/>
  <c r="F247" i="3" s="1" a="1"/>
  <c r="F247" i="3" s="1"/>
  <c r="E227" i="3"/>
  <c r="Q227" i="3" s="1" a="1"/>
  <c r="Q227" i="3" s="1"/>
  <c r="E39" i="3"/>
  <c r="G39" i="3" s="1" a="1"/>
  <c r="G39" i="3" s="1"/>
  <c r="E202" i="3"/>
  <c r="G202" i="3" s="1" a="1"/>
  <c r="G202" i="3" s="1"/>
  <c r="E72" i="3"/>
  <c r="G72" i="3" s="1" a="1"/>
  <c r="G72" i="3" s="1"/>
  <c r="E154" i="3"/>
  <c r="Q154" i="3" s="1" a="1"/>
  <c r="Q154" i="3" s="1"/>
  <c r="E130" i="3"/>
  <c r="Q130" i="3" s="1" a="1"/>
  <c r="Q130" i="3" s="1"/>
  <c r="E75" i="3"/>
  <c r="G75" i="3" s="1" a="1"/>
  <c r="G75" i="3" s="1"/>
  <c r="E191" i="3"/>
  <c r="G191" i="3" s="1" a="1"/>
  <c r="G191" i="3" s="1"/>
  <c r="E105" i="3"/>
  <c r="G105" i="3" s="1" a="1"/>
  <c r="G105" i="3" s="1"/>
  <c r="E169" i="3"/>
  <c r="Q169" i="3" s="1" a="1"/>
  <c r="Q169" i="3" s="1"/>
  <c r="E209" i="3"/>
  <c r="F209" i="3" s="1" a="1"/>
  <c r="F209" i="3" s="1"/>
  <c r="E136" i="3"/>
  <c r="Q136" i="3" s="1" a="1"/>
  <c r="Q136" i="3" s="1"/>
  <c r="E40" i="3"/>
  <c r="Q40" i="3" s="1" a="1"/>
  <c r="Q40" i="3" s="1"/>
  <c r="E235" i="3"/>
  <c r="G235" i="3" s="1" a="1"/>
  <c r="G235" i="3" s="1"/>
  <c r="E233" i="3"/>
  <c r="Q233" i="3" s="1" a="1"/>
  <c r="Q233" i="3" s="1"/>
  <c r="E231" i="3"/>
  <c r="F231" i="3" s="1" a="1"/>
  <c r="F231" i="3" s="1"/>
  <c r="E41" i="3"/>
  <c r="F41" i="3" s="1" a="1"/>
  <c r="F41" i="3" s="1"/>
  <c r="E119" i="3"/>
  <c r="Q119" i="3" s="1" a="1"/>
  <c r="Q119" i="3" s="1"/>
  <c r="E183" i="3"/>
  <c r="G183" i="3" s="1" a="1"/>
  <c r="G183" i="3" s="1"/>
  <c r="E153" i="3"/>
  <c r="G153" i="3" s="1" a="1"/>
  <c r="G153" i="3" s="1"/>
  <c r="E113" i="3"/>
  <c r="G113" i="3" s="1" a="1"/>
  <c r="G113" i="3" s="1"/>
  <c r="E121" i="3"/>
  <c r="F121" i="3" s="1" a="1"/>
  <c r="F121" i="3" s="1"/>
  <c r="E250" i="3"/>
  <c r="G250" i="3" s="1" a="1"/>
  <c r="G250" i="3" s="1"/>
  <c r="E193" i="3"/>
  <c r="F193" i="3" s="1" a="1"/>
  <c r="F193" i="3" s="1"/>
  <c r="E185" i="3"/>
  <c r="G185" i="3" s="1" a="1"/>
  <c r="G185" i="3" s="1"/>
  <c r="E67" i="3"/>
  <c r="F67" i="3" s="1" a="1"/>
  <c r="F67" i="3" s="1"/>
  <c r="E123" i="3"/>
  <c r="G123" i="3" s="1" a="1"/>
  <c r="G123" i="3" s="1"/>
  <c r="E187" i="3"/>
  <c r="G187" i="3" s="1" a="1"/>
  <c r="G187" i="3" s="1"/>
  <c r="E146" i="3"/>
  <c r="G146" i="3" s="1" a="1"/>
  <c r="G146" i="3" s="1"/>
  <c r="E131" i="3"/>
  <c r="G131" i="3" s="1" a="1"/>
  <c r="G131" i="3" s="1"/>
  <c r="E120" i="3"/>
  <c r="F120" i="3" s="1" a="1"/>
  <c r="F120" i="3" s="1"/>
  <c r="E56" i="3"/>
  <c r="G56" i="3" s="1" a="1"/>
  <c r="G56" i="3" s="1"/>
  <c r="E218" i="3"/>
  <c r="F218" i="3" s="1" a="1"/>
  <c r="F218" i="3" s="1"/>
  <c r="E208" i="3"/>
  <c r="G208" i="3" s="1" a="1"/>
  <c r="G208" i="3" s="1"/>
  <c r="E184" i="3"/>
  <c r="G184" i="3" s="1" a="1"/>
  <c r="G184" i="3" s="1"/>
  <c r="E151" i="3"/>
  <c r="G151" i="3" s="1" a="1"/>
  <c r="G151" i="3" s="1"/>
  <c r="E87" i="3"/>
  <c r="F87" i="3" s="1" a="1"/>
  <c r="F87" i="3" s="1"/>
  <c r="E58" i="3"/>
  <c r="F58" i="3" s="1" a="1"/>
  <c r="F58" i="3" s="1"/>
  <c r="E19" i="3"/>
  <c r="Q19" i="3" s="1" a="1"/>
  <c r="Q19" i="3" s="1"/>
  <c r="E65" i="3"/>
  <c r="G65" i="3" s="1" a="1"/>
  <c r="G65" i="3" s="1"/>
  <c r="E42" i="3"/>
  <c r="Q42" i="3" s="1" a="1"/>
  <c r="Q42" i="3" s="1"/>
  <c r="E15" i="3"/>
  <c r="G15" i="3" s="1" a="1"/>
  <c r="G15" i="3" s="1"/>
  <c r="P15" i="3" s="1"/>
  <c r="E127" i="3"/>
  <c r="Q127" i="3" s="1" a="1"/>
  <c r="Q127" i="3" s="1"/>
  <c r="E111" i="3"/>
  <c r="Q111" i="3" s="1" a="1"/>
  <c r="Q111" i="3" s="1"/>
  <c r="E63" i="3"/>
  <c r="F63" i="3" s="1" a="1"/>
  <c r="F63" i="3" s="1"/>
  <c r="E195" i="3"/>
  <c r="Q195" i="3" s="1" a="1"/>
  <c r="Q195" i="3" s="1"/>
  <c r="E73" i="3"/>
  <c r="G73" i="3" s="1" a="1"/>
  <c r="G73" i="3" s="1"/>
  <c r="E152" i="3"/>
  <c r="Q152" i="3" s="1" a="1"/>
  <c r="Q152" i="3" s="1"/>
  <c r="E232" i="3"/>
  <c r="F232" i="3" s="1" a="1"/>
  <c r="F232" i="3" s="1"/>
  <c r="E82" i="3"/>
  <c r="Q82" i="3" s="1" a="1"/>
  <c r="Q82" i="3" s="1"/>
  <c r="E47" i="3"/>
  <c r="F47" i="3" s="1" a="1"/>
  <c r="F47" i="3" s="1"/>
  <c r="E50" i="3"/>
  <c r="F50" i="3" s="1" a="1"/>
  <c r="F50" i="3" s="1"/>
  <c r="E98" i="3"/>
  <c r="G98" i="3" s="1" a="1"/>
  <c r="G98" i="3" s="1"/>
  <c r="E219" i="3"/>
  <c r="Q219" i="3" s="1" a="1"/>
  <c r="Q219" i="3" s="1"/>
  <c r="E103" i="3"/>
  <c r="F103" i="3" s="1" a="1"/>
  <c r="F103" i="3" s="1"/>
  <c r="E31" i="3"/>
  <c r="G31" i="3" s="1" a="1"/>
  <c r="G31" i="3" s="1"/>
  <c r="P31" i="3" s="1"/>
  <c r="E74" i="3"/>
  <c r="F74" i="3" s="1" a="1"/>
  <c r="F74" i="3" s="1"/>
  <c r="E112" i="3"/>
  <c r="Q112" i="3" s="1" a="1"/>
  <c r="Q112" i="3" s="1"/>
  <c r="E96" i="3"/>
  <c r="F96" i="3" s="1" a="1"/>
  <c r="F96" i="3" s="1"/>
  <c r="E114" i="3"/>
  <c r="F114" i="3" s="1" a="1"/>
  <c r="F114" i="3" s="1"/>
  <c r="E241" i="3"/>
  <c r="F241" i="3" s="1" a="1"/>
  <c r="F241" i="3" s="1"/>
  <c r="E217" i="3"/>
  <c r="Q217" i="3" s="1" a="1"/>
  <c r="Q217" i="3" s="1"/>
  <c r="E66" i="3"/>
  <c r="Q66" i="3" s="1" a="1"/>
  <c r="Q66" i="3" s="1"/>
  <c r="E137" i="3"/>
  <c r="F137" i="3" s="1" a="1"/>
  <c r="F137" i="3" s="1"/>
  <c r="E107" i="3"/>
  <c r="Q107" i="3" s="1" a="1"/>
  <c r="Q107" i="3" s="1"/>
  <c r="E175" i="3"/>
  <c r="G175" i="3" s="1" a="1"/>
  <c r="G175" i="3" s="1"/>
  <c r="E122" i="3"/>
  <c r="Q122" i="3" s="1" a="1"/>
  <c r="Q122" i="3" s="1"/>
  <c r="G33" i="3" a="1"/>
  <c r="G33" i="3" s="1"/>
  <c r="F240" i="3" a="1"/>
  <c r="F240" i="3" s="1"/>
  <c r="F251" i="3" a="1"/>
  <c r="F251" i="3" s="1"/>
  <c r="F145" i="3" a="1"/>
  <c r="F145" i="3" s="1"/>
  <c r="Q43" i="3" a="1"/>
  <c r="Q43" i="3" s="1"/>
  <c r="Q97" i="3" a="1"/>
  <c r="Q97" i="3" s="1"/>
  <c r="Q194" i="3" a="1"/>
  <c r="Q194" i="3" s="1"/>
  <c r="F194" i="3" a="1"/>
  <c r="F194" i="3" s="1"/>
  <c r="G194" i="3" a="1"/>
  <c r="G194" i="3" s="1"/>
  <c r="G186" i="3" a="1"/>
  <c r="G186" i="3" s="1"/>
  <c r="Q186" i="3" a="1"/>
  <c r="Q186" i="3" s="1"/>
  <c r="F186" i="3" a="1"/>
  <c r="F186" i="3" s="1"/>
  <c r="P39" i="3"/>
  <c r="Q143" i="3" a="1"/>
  <c r="Q143" i="3" s="1"/>
  <c r="Q177" i="3" l="1" a="1"/>
  <c r="Q177" i="3" s="1"/>
  <c r="Q87" i="3" a="1"/>
  <c r="Q87" i="3" s="1"/>
  <c r="G177" i="3" a="1"/>
  <c r="G177" i="3" s="1"/>
  <c r="G83" i="3" a="1"/>
  <c r="G83" i="3" s="1"/>
  <c r="F176" i="3" a="1"/>
  <c r="F176" i="3" s="1"/>
  <c r="Q114" i="3" a="1"/>
  <c r="Q114" i="3" s="1"/>
  <c r="F183" i="3" a="1"/>
  <c r="F183" i="3" s="1"/>
  <c r="F154" i="3" a="1"/>
  <c r="F154" i="3" s="1"/>
  <c r="G138" i="3" a="1"/>
  <c r="G138" i="3" s="1"/>
  <c r="G80" i="3" a="1"/>
  <c r="G80" i="3" s="1"/>
  <c r="G79" i="3" a="1"/>
  <c r="G79" i="3" s="1"/>
  <c r="Q72" i="3" a="1"/>
  <c r="Q72" i="3" s="1"/>
  <c r="Q99" i="3" a="1"/>
  <c r="Q99" i="3" s="1"/>
  <c r="G96" i="3" a="1"/>
  <c r="G96" i="3" s="1"/>
  <c r="Q51" i="3" a="1"/>
  <c r="Q51" i="3" s="1"/>
  <c r="F51" i="3" a="1"/>
  <c r="F51" i="3" s="1"/>
  <c r="G97" i="3" a="1"/>
  <c r="G97" i="3" s="1"/>
  <c r="Q48" i="3" a="1"/>
  <c r="Q48" i="3" s="1"/>
  <c r="F129" i="3" a="1"/>
  <c r="F129" i="3" s="1"/>
  <c r="G129" i="3" a="1"/>
  <c r="G129" i="3" s="1"/>
  <c r="Q201" i="3" a="1"/>
  <c r="Q201" i="3" s="1"/>
  <c r="G201" i="3" a="1"/>
  <c r="G201" i="3" s="1"/>
  <c r="F138" i="3" a="1"/>
  <c r="F138" i="3" s="1"/>
  <c r="G248" i="3" a="1"/>
  <c r="G248" i="3" s="1"/>
  <c r="F248" i="3" a="1"/>
  <c r="F248" i="3" s="1"/>
  <c r="G106" i="3" a="1"/>
  <c r="G106" i="3" s="1"/>
  <c r="F89" i="3" a="1"/>
  <c r="F89" i="3" s="1"/>
  <c r="Q223" i="3" a="1"/>
  <c r="Q223" i="3" s="1"/>
  <c r="G57" i="3" a="1"/>
  <c r="G57" i="3" s="1"/>
  <c r="F123" i="3" a="1"/>
  <c r="F123" i="3" s="1"/>
  <c r="Q251" i="3" a="1"/>
  <c r="Q251" i="3" s="1"/>
  <c r="Q139" i="3" a="1"/>
  <c r="Q139" i="3" s="1"/>
  <c r="F119" i="3" a="1"/>
  <c r="F119" i="3" s="1"/>
  <c r="Q234" i="3" a="1"/>
  <c r="Q234" i="3" s="1"/>
  <c r="F234" i="3" a="1"/>
  <c r="F234" i="3" s="1"/>
  <c r="G168" i="3" a="1"/>
  <c r="G168" i="3" s="1"/>
  <c r="Q41" i="3" a="1"/>
  <c r="Q41" i="3" s="1"/>
  <c r="Q183" i="3" a="1"/>
  <c r="Q183" i="3" s="1"/>
  <c r="F191" i="3" a="1"/>
  <c r="F191" i="3" s="1"/>
  <c r="F107" i="3" a="1"/>
  <c r="F107" i="3" s="1"/>
  <c r="F185" i="3" a="1"/>
  <c r="F185" i="3" s="1"/>
  <c r="G41" i="3" a="1"/>
  <c r="G41" i="3" s="1"/>
  <c r="F73" i="3" a="1"/>
  <c r="F73" i="3" s="1"/>
  <c r="Q184" i="3" a="1"/>
  <c r="Q184" i="3" s="1"/>
  <c r="F184" i="3" a="1"/>
  <c r="F184" i="3" s="1"/>
  <c r="G66" i="3" a="1"/>
  <c r="G66" i="3" s="1"/>
  <c r="Q176" i="3" a="1"/>
  <c r="Q176" i="3" s="1"/>
  <c r="Q145" i="3" a="1"/>
  <c r="Q145" i="3" s="1"/>
  <c r="G114" i="3" a="1"/>
  <c r="G114" i="3" s="1"/>
  <c r="G88" i="3" a="1"/>
  <c r="G88" i="3" s="1"/>
  <c r="G163" i="3" a="1"/>
  <c r="G163" i="3" s="1"/>
  <c r="Q88" i="3" a="1"/>
  <c r="Q88" i="3" s="1"/>
  <c r="G160" i="3" a="1"/>
  <c r="G160" i="3" s="1"/>
  <c r="Q160" i="3" a="1"/>
  <c r="Q160" i="3" s="1"/>
  <c r="F42" i="3" a="1"/>
  <c r="F42" i="3" s="1"/>
  <c r="G42" i="3" a="1"/>
  <c r="G42" i="3" s="1"/>
  <c r="Q115" i="3" a="1"/>
  <c r="Q115" i="3" s="1"/>
  <c r="F115" i="3" a="1"/>
  <c r="F115" i="3" s="1"/>
  <c r="G215" i="3" a="1"/>
  <c r="G215" i="3" s="1"/>
  <c r="G179" i="3" a="1"/>
  <c r="G179" i="3" s="1"/>
  <c r="F215" i="3" a="1"/>
  <c r="F215" i="3" s="1"/>
  <c r="Q170" i="3" a="1"/>
  <c r="Q170" i="3" s="1"/>
  <c r="F243" i="3" a="1"/>
  <c r="F243" i="3" s="1"/>
  <c r="G241" i="3" a="1"/>
  <c r="G241" i="3" s="1"/>
  <c r="F170" i="3" a="1"/>
  <c r="F170" i="3" s="1"/>
  <c r="Q235" i="3" a="1"/>
  <c r="Q235" i="3" s="1"/>
  <c r="G219" i="3" a="1"/>
  <c r="G219" i="3" s="1"/>
  <c r="F235" i="3" a="1"/>
  <c r="F235" i="3" s="1"/>
  <c r="F219" i="3" a="1"/>
  <c r="F219" i="3" s="1"/>
  <c r="Q153" i="3" a="1"/>
  <c r="Q153" i="3" s="1"/>
  <c r="F72" i="3" a="1"/>
  <c r="F72" i="3" s="1"/>
  <c r="F217" i="3" a="1"/>
  <c r="F217" i="3" s="1"/>
  <c r="G217" i="3" a="1"/>
  <c r="G217" i="3" s="1"/>
  <c r="Q179" i="3" a="1"/>
  <c r="Q179" i="3" s="1"/>
  <c r="G50" i="3" a="1"/>
  <c r="G50" i="3" s="1"/>
  <c r="Q58" i="3" a="1"/>
  <c r="Q58" i="3" s="1"/>
  <c r="Q243" i="3" a="1"/>
  <c r="Q243" i="3" s="1"/>
  <c r="F187" i="3" a="1"/>
  <c r="F187" i="3" s="1"/>
  <c r="G58" i="3" a="1"/>
  <c r="G58" i="3" s="1"/>
  <c r="F151" i="3" a="1"/>
  <c r="F151" i="3" s="1"/>
  <c r="G154" i="3" a="1"/>
  <c r="G154" i="3" s="1"/>
  <c r="Q146" i="3" a="1"/>
  <c r="Q146" i="3" s="1"/>
  <c r="G127" i="3" a="1"/>
  <c r="G127" i="3" s="1"/>
  <c r="Q208" i="3" a="1"/>
  <c r="Q208" i="3" s="1"/>
  <c r="G82" i="3" a="1"/>
  <c r="G82" i="3" s="1"/>
  <c r="F127" i="3" a="1"/>
  <c r="F127" i="3" s="1"/>
  <c r="G112" i="3" a="1"/>
  <c r="G112" i="3" s="1"/>
  <c r="G210" i="3" a="1"/>
  <c r="G210" i="3" s="1"/>
  <c r="G242" i="3" a="1"/>
  <c r="G242" i="3" s="1"/>
  <c r="F112" i="3" a="1"/>
  <c r="F112" i="3" s="1"/>
  <c r="Q39" i="3" a="1"/>
  <c r="Q39" i="3" s="1"/>
  <c r="R39" i="3" s="1"/>
  <c r="T39" i="3" s="1"/>
  <c r="G128" i="3" a="1"/>
  <c r="G128" i="3" s="1"/>
  <c r="Q67" i="3" a="1"/>
  <c r="Q67" i="3" s="1"/>
  <c r="F39" i="3" a="1"/>
  <c r="F39" i="3" s="1"/>
  <c r="F23" i="3" a="1"/>
  <c r="F23" i="3" s="1"/>
  <c r="G67" i="3" a="1"/>
  <c r="G67" i="3" s="1"/>
  <c r="F175" i="3" a="1"/>
  <c r="F175" i="3" s="1"/>
  <c r="G119" i="3" a="1"/>
  <c r="G119" i="3" s="1"/>
  <c r="Q123" i="3" a="1"/>
  <c r="Q123" i="3" s="1"/>
  <c r="F210" i="3" a="1"/>
  <c r="F210" i="3" s="1"/>
  <c r="F82" i="3" a="1"/>
  <c r="F82" i="3" s="1"/>
  <c r="F224" i="3" a="1"/>
  <c r="F224" i="3" s="1"/>
  <c r="Q242" i="3" a="1"/>
  <c r="Q242" i="3" s="1"/>
  <c r="G23" i="3" a="1"/>
  <c r="G23" i="3" s="1"/>
  <c r="P23" i="3" s="1"/>
  <c r="R23" i="3" s="1"/>
  <c r="T23" i="3" s="1"/>
  <c r="Q50" i="3" a="1"/>
  <c r="Q50" i="3" s="1"/>
  <c r="Q151" i="3" a="1"/>
  <c r="Q151" i="3" s="1"/>
  <c r="G107" i="3" a="1"/>
  <c r="G107" i="3" s="1"/>
  <c r="G223" i="3" a="1"/>
  <c r="G223" i="3" s="1"/>
  <c r="F211" i="3" a="1"/>
  <c r="F211" i="3" s="1"/>
  <c r="F66" i="3" a="1"/>
  <c r="F66" i="3" s="1"/>
  <c r="G59" i="3" a="1"/>
  <c r="G59" i="3" s="1"/>
  <c r="Q81" i="3" a="1"/>
  <c r="Q81" i="3" s="1"/>
  <c r="Q192" i="3" a="1"/>
  <c r="Q192" i="3" s="1"/>
  <c r="F225" i="3" a="1"/>
  <c r="F225" i="3" s="1"/>
  <c r="G211" i="3" a="1"/>
  <c r="G211" i="3" s="1"/>
  <c r="G49" i="3" a="1"/>
  <c r="G49" i="3" s="1"/>
  <c r="Q59" i="3" a="1"/>
  <c r="Q59" i="3" s="1"/>
  <c r="G81" i="3" a="1"/>
  <c r="G81" i="3" s="1"/>
  <c r="F71" i="3" a="1"/>
  <c r="F71" i="3" s="1"/>
  <c r="G19" i="3" a="1"/>
  <c r="G19" i="3" s="1"/>
  <c r="Q49" i="3" a="1"/>
  <c r="Q49" i="3" s="1"/>
  <c r="G192" i="3" a="1"/>
  <c r="G192" i="3" s="1"/>
  <c r="Q71" i="3" a="1"/>
  <c r="Q71" i="3" s="1"/>
  <c r="Q193" i="3" a="1"/>
  <c r="Q193" i="3" s="1"/>
  <c r="F19" i="3" a="1"/>
  <c r="F19" i="3" s="1"/>
  <c r="Q168" i="3" a="1"/>
  <c r="Q168" i="3" s="1"/>
  <c r="F56" i="3" a="1"/>
  <c r="F56" i="3" s="1"/>
  <c r="Q73" i="3" a="1"/>
  <c r="Q73" i="3" s="1"/>
  <c r="Q247" i="3" a="1"/>
  <c r="Q247" i="3" s="1"/>
  <c r="Q56" i="3" a="1"/>
  <c r="Q56" i="3" s="1"/>
  <c r="F57" i="3" a="1"/>
  <c r="F57" i="3" s="1"/>
  <c r="F250" i="3" a="1"/>
  <c r="F250" i="3" s="1"/>
  <c r="Q239" i="3" a="1"/>
  <c r="Q239" i="3" s="1"/>
  <c r="F147" i="3" a="1"/>
  <c r="F147" i="3" s="1"/>
  <c r="Q231" i="3" a="1"/>
  <c r="Q231" i="3" s="1"/>
  <c r="G247" i="3" a="1"/>
  <c r="G247" i="3" s="1"/>
  <c r="G231" i="3" a="1"/>
  <c r="G231" i="3" s="1"/>
  <c r="Q65" i="3" a="1"/>
  <c r="Q65" i="3" s="1"/>
  <c r="Q120" i="3" a="1"/>
  <c r="Q120" i="3" s="1"/>
  <c r="G239" i="3" a="1"/>
  <c r="G239" i="3" s="1"/>
  <c r="F111" i="3" a="1"/>
  <c r="F111" i="3" s="1"/>
  <c r="G147" i="3" a="1"/>
  <c r="G147" i="3" s="1"/>
  <c r="F32" i="3" a="1"/>
  <c r="F32" i="3" s="1"/>
  <c r="Q250" i="3" a="1"/>
  <c r="Q250" i="3" s="1"/>
  <c r="G152" i="3" a="1"/>
  <c r="G152" i="3" s="1"/>
  <c r="F65" i="3" a="1"/>
  <c r="F65" i="3" s="1"/>
  <c r="G193" i="3" a="1"/>
  <c r="G193" i="3" s="1"/>
  <c r="G120" i="3" a="1"/>
  <c r="G120" i="3" s="1"/>
  <c r="G89" i="3" a="1"/>
  <c r="G89" i="3" s="1"/>
  <c r="Q191" i="3" a="1"/>
  <c r="Q191" i="3" s="1"/>
  <c r="Q15" i="3" a="1"/>
  <c r="Q15" i="3" s="1"/>
  <c r="Q32" i="3" a="1"/>
  <c r="Q32" i="3" s="1"/>
  <c r="Q240" i="3" a="1"/>
  <c r="Q240" i="3" s="1"/>
  <c r="F35" i="3" a="1"/>
  <c r="F35" i="3" s="1"/>
  <c r="F153" i="3" a="1"/>
  <c r="F153" i="3" s="1"/>
  <c r="Q137" i="3" a="1"/>
  <c r="Q137" i="3" s="1"/>
  <c r="G136" i="3" a="1"/>
  <c r="G136" i="3" s="1"/>
  <c r="Q91" i="3" a="1"/>
  <c r="Q91" i="3" s="1"/>
  <c r="G17" i="3" a="1"/>
  <c r="G17" i="3" s="1"/>
  <c r="Q185" i="3" a="1"/>
  <c r="Q185" i="3" s="1"/>
  <c r="F216" i="3" a="1"/>
  <c r="F216" i="3" s="1"/>
  <c r="Q79" i="3" a="1"/>
  <c r="Q79" i="3" s="1"/>
  <c r="Q241" i="3" a="1"/>
  <c r="Q241" i="3" s="1"/>
  <c r="F199" i="3" a="1"/>
  <c r="F199" i="3" s="1"/>
  <c r="G25" i="3" a="1"/>
  <c r="G25" i="3" s="1"/>
  <c r="G87" i="3" a="1"/>
  <c r="G87" i="3" s="1"/>
  <c r="F227" i="3" a="1"/>
  <c r="F227" i="3" s="1"/>
  <c r="G216" i="3" a="1"/>
  <c r="G216" i="3" s="1"/>
  <c r="Q25" i="3" a="1"/>
  <c r="Q25" i="3" s="1"/>
  <c r="F203" i="3" a="1"/>
  <c r="F203" i="3" s="1"/>
  <c r="G40" i="3" a="1"/>
  <c r="G40" i="3" s="1"/>
  <c r="Q47" i="3" a="1"/>
  <c r="Q47" i="3" s="1"/>
  <c r="F233" i="3" a="1"/>
  <c r="F233" i="3" s="1"/>
  <c r="G48" i="3" a="1"/>
  <c r="G48" i="3" s="1"/>
  <c r="G233" i="3" a="1"/>
  <c r="G233" i="3" s="1"/>
  <c r="G167" i="3" a="1"/>
  <c r="G167" i="3" s="1"/>
  <c r="F91" i="3" a="1"/>
  <c r="F91" i="3" s="1"/>
  <c r="G232" i="3" a="1"/>
  <c r="G232" i="3" s="1"/>
  <c r="F167" i="3" a="1"/>
  <c r="F167" i="3" s="1"/>
  <c r="G199" i="3" a="1"/>
  <c r="G199" i="3" s="1"/>
  <c r="Q34" i="3" a="1"/>
  <c r="Q34" i="3" s="1"/>
  <c r="Q18" i="3" a="1"/>
  <c r="Q18" i="3" s="1"/>
  <c r="Q105" i="3" a="1"/>
  <c r="Q105" i="3" s="1"/>
  <c r="F105" i="3" a="1"/>
  <c r="F105" i="3" s="1"/>
  <c r="F34" i="3" a="1"/>
  <c r="F34" i="3" s="1"/>
  <c r="Q218" i="3" a="1"/>
  <c r="Q218" i="3" s="1"/>
  <c r="Q26" i="3" a="1"/>
  <c r="Q26" i="3" s="1"/>
  <c r="Q74" i="3" a="1"/>
  <c r="Q74" i="3" s="1"/>
  <c r="G218" i="3" a="1"/>
  <c r="G218" i="3" s="1"/>
  <c r="F26" i="3" a="1"/>
  <c r="F26" i="3" s="1"/>
  <c r="Q155" i="3" a="1"/>
  <c r="Q155" i="3" s="1"/>
  <c r="F15" i="3" a="1"/>
  <c r="F15" i="3" s="1"/>
  <c r="G122" i="3" a="1"/>
  <c r="G122" i="3" s="1"/>
  <c r="F146" i="3" a="1"/>
  <c r="F146" i="3" s="1"/>
  <c r="F131" i="3" a="1"/>
  <c r="F131" i="3" s="1"/>
  <c r="Q83" i="3" a="1"/>
  <c r="Q83" i="3" s="1"/>
  <c r="Q224" i="3" a="1"/>
  <c r="Q224" i="3" s="1"/>
  <c r="Q35" i="3" a="1"/>
  <c r="Q35" i="3" s="1"/>
  <c r="F80" i="3" a="1"/>
  <c r="F80" i="3" s="1"/>
  <c r="Q131" i="3" a="1"/>
  <c r="Q131" i="3" s="1"/>
  <c r="F33" i="3" a="1"/>
  <c r="F33" i="3" s="1"/>
  <c r="F152" i="3" a="1"/>
  <c r="F152" i="3" s="1"/>
  <c r="G74" i="3" a="1"/>
  <c r="G74" i="3" s="1"/>
  <c r="G104" i="3" a="1"/>
  <c r="G104" i="3" s="1"/>
  <c r="G130" i="3" a="1"/>
  <c r="G130" i="3" s="1"/>
  <c r="G18" i="3" a="1"/>
  <c r="G18" i="3" s="1"/>
  <c r="F130" i="3" a="1"/>
  <c r="F130" i="3" s="1"/>
  <c r="G47" i="3" a="1"/>
  <c r="G47" i="3" s="1"/>
  <c r="Q163" i="3" a="1"/>
  <c r="Q163" i="3" s="1"/>
  <c r="G137" i="3" a="1"/>
  <c r="G137" i="3" s="1"/>
  <c r="F122" i="3" a="1"/>
  <c r="F122" i="3" s="1"/>
  <c r="F95" i="3" a="1"/>
  <c r="F95" i="3" s="1"/>
  <c r="G55" i="3" a="1"/>
  <c r="G55" i="3" s="1"/>
  <c r="Q113" i="3" a="1"/>
  <c r="Q113" i="3" s="1"/>
  <c r="Q16" i="3" a="1"/>
  <c r="Q16" i="3" s="1"/>
  <c r="G135" i="3" a="1"/>
  <c r="G135" i="3" s="1"/>
  <c r="G103" i="3" a="1"/>
  <c r="G103" i="3" s="1"/>
  <c r="F17" i="3" a="1"/>
  <c r="F17" i="3" s="1"/>
  <c r="Q178" i="3" a="1"/>
  <c r="Q178" i="3" s="1"/>
  <c r="G209" i="3" a="1"/>
  <c r="G209" i="3" s="1"/>
  <c r="Q55" i="3" a="1"/>
  <c r="Q55" i="3" s="1"/>
  <c r="F208" i="3" a="1"/>
  <c r="F208" i="3" s="1"/>
  <c r="F178" i="3" a="1"/>
  <c r="F178" i="3" s="1"/>
  <c r="F113" i="3" a="1"/>
  <c r="F113" i="3" s="1"/>
  <c r="G16" i="3" a="1"/>
  <c r="G16" i="3" s="1"/>
  <c r="Q226" i="3" a="1"/>
  <c r="Q226" i="3" s="1"/>
  <c r="G169" i="3" a="1"/>
  <c r="G169" i="3" s="1"/>
  <c r="Q207" i="3" a="1"/>
  <c r="Q207" i="3" s="1"/>
  <c r="Q31" i="3" a="1"/>
  <c r="Q31" i="3" s="1"/>
  <c r="Q103" i="3" a="1"/>
  <c r="Q103" i="3" s="1"/>
  <c r="F31" i="3" a="1"/>
  <c r="F31" i="3" s="1"/>
  <c r="G207" i="3" a="1"/>
  <c r="G207" i="3" s="1"/>
  <c r="Q171" i="3" a="1"/>
  <c r="Q171" i="3" s="1"/>
  <c r="G195" i="3" a="1"/>
  <c r="G195" i="3" s="1"/>
  <c r="G95" i="3" a="1"/>
  <c r="G95" i="3" s="1"/>
  <c r="Q225" i="3" a="1"/>
  <c r="Q225" i="3" s="1"/>
  <c r="F195" i="3" a="1"/>
  <c r="F195" i="3" s="1"/>
  <c r="Q209" i="3" a="1"/>
  <c r="Q209" i="3" s="1"/>
  <c r="Q175" i="3" a="1"/>
  <c r="Q175" i="3" s="1"/>
  <c r="F136" i="3" a="1"/>
  <c r="F136" i="3" s="1"/>
  <c r="G171" i="3" a="1"/>
  <c r="G171" i="3" s="1"/>
  <c r="G24" i="3" a="1"/>
  <c r="G24" i="3" s="1"/>
  <c r="Q249" i="3" a="1"/>
  <c r="Q249" i="3" s="1"/>
  <c r="G249" i="3" a="1"/>
  <c r="G249" i="3" s="1"/>
  <c r="F98" i="3" a="1"/>
  <c r="F98" i="3" s="1"/>
  <c r="Q121" i="3" a="1"/>
  <c r="Q121" i="3" s="1"/>
  <c r="Q64" i="3" a="1"/>
  <c r="Q64" i="3" s="1"/>
  <c r="F24" i="3" a="1"/>
  <c r="F24" i="3" s="1"/>
  <c r="G155" i="3" a="1"/>
  <c r="G155" i="3" s="1"/>
  <c r="G64" i="3" a="1"/>
  <c r="G64" i="3" s="1"/>
  <c r="G111" i="3" a="1"/>
  <c r="G111" i="3" s="1"/>
  <c r="G143" i="3" a="1"/>
  <c r="G143" i="3" s="1"/>
  <c r="F143" i="3" a="1"/>
  <c r="F143" i="3" s="1"/>
  <c r="Q27" i="3" a="1"/>
  <c r="Q27" i="3" s="1"/>
  <c r="F27" i="3" a="1"/>
  <c r="F27" i="3" s="1"/>
  <c r="G27" i="3" a="1"/>
  <c r="G27" i="3" s="1"/>
  <c r="F90" i="3" a="1"/>
  <c r="F90" i="3" s="1"/>
  <c r="Q90" i="3" a="1"/>
  <c r="Q90" i="3" s="1"/>
  <c r="G90" i="3" a="1"/>
  <c r="G90" i="3" s="1"/>
  <c r="Q162" i="3" a="1"/>
  <c r="Q162" i="3" s="1"/>
  <c r="G162" i="3" a="1"/>
  <c r="G162" i="3" s="1"/>
  <c r="G63" i="3" a="1"/>
  <c r="G63" i="3" s="1"/>
  <c r="Q63" i="3" a="1"/>
  <c r="Q63" i="3" s="1"/>
  <c r="Q75" i="3" a="1"/>
  <c r="Q75" i="3" s="1"/>
  <c r="F99" i="3" a="1"/>
  <c r="F99" i="3" s="1"/>
  <c r="Q144" i="3" a="1"/>
  <c r="Q144" i="3" s="1"/>
  <c r="F75" i="3" a="1"/>
  <c r="F75" i="3" s="1"/>
  <c r="F139" i="3" a="1"/>
  <c r="F139" i="3" s="1"/>
  <c r="Q200" i="3" a="1"/>
  <c r="Q200" i="3" s="1"/>
  <c r="F104" i="3" a="1"/>
  <c r="F104" i="3" s="1"/>
  <c r="Q161" i="3" a="1"/>
  <c r="Q161" i="3" s="1"/>
  <c r="F106" i="3" a="1"/>
  <c r="F106" i="3" s="1"/>
  <c r="G227" i="3" a="1"/>
  <c r="G227" i="3" s="1"/>
  <c r="F144" i="3" a="1"/>
  <c r="F144" i="3" s="1"/>
  <c r="Q96" i="3" a="1"/>
  <c r="Q96" i="3" s="1"/>
  <c r="Q202" i="3" a="1"/>
  <c r="Q202" i="3" s="1"/>
  <c r="F40" i="3" a="1"/>
  <c r="F40" i="3" s="1"/>
  <c r="Q98" i="3" a="1"/>
  <c r="Q98" i="3" s="1"/>
  <c r="F43" i="3" a="1"/>
  <c r="F43" i="3" s="1"/>
  <c r="Q187" i="3" a="1"/>
  <c r="Q187" i="3" s="1"/>
  <c r="Q203" i="3" a="1"/>
  <c r="Q203" i="3" s="1"/>
  <c r="Q232" i="3" a="1"/>
  <c r="Q232" i="3" s="1"/>
  <c r="F200" i="3" a="1"/>
  <c r="F200" i="3" s="1"/>
  <c r="G121" i="3" a="1"/>
  <c r="G121" i="3" s="1"/>
  <c r="G159" i="3" a="1"/>
  <c r="G159" i="3" s="1"/>
  <c r="F135" i="3" a="1"/>
  <c r="F135" i="3" s="1"/>
  <c r="G161" i="3" a="1"/>
  <c r="G161" i="3" s="1"/>
  <c r="F202" i="3" a="1"/>
  <c r="F202" i="3" s="1"/>
  <c r="F169" i="3" a="1"/>
  <c r="F169" i="3" s="1"/>
  <c r="Q128" i="3" a="1"/>
  <c r="Q128" i="3" s="1"/>
  <c r="F159" i="3" a="1"/>
  <c r="F159" i="3" s="1"/>
  <c r="F226" i="3" a="1"/>
  <c r="F226" i="3" s="1"/>
  <c r="R15" i="3" l="1"/>
  <c r="T15" i="3" s="1"/>
  <c r="R31" i="3"/>
  <c r="T31" i="3" s="1"/>
</calcChain>
</file>

<file path=xl/sharedStrings.xml><?xml version="1.0" encoding="utf-8"?>
<sst xmlns="http://schemas.openxmlformats.org/spreadsheetml/2006/main" count="1327" uniqueCount="168">
  <si>
    <t>Explanation</t>
  </si>
  <si>
    <t>Dropdown list</t>
  </si>
  <si>
    <t>Column</t>
  </si>
  <si>
    <t>BIODIVERSITY TYPE</t>
  </si>
  <si>
    <t>Biodiversity Component</t>
  </si>
  <si>
    <t>Biodiversity Attribute</t>
  </si>
  <si>
    <r>
      <rPr>
        <b/>
        <i/>
        <sz val="12"/>
        <color theme="1"/>
        <rFont val="Calibri"/>
        <family val="2"/>
        <scheme val="minor"/>
      </rPr>
      <t>Biodiversity Type</t>
    </r>
  </si>
  <si>
    <t>Area of Impact (ha)</t>
  </si>
  <si>
    <t>Column C</t>
  </si>
  <si>
    <t>Sheet name</t>
  </si>
  <si>
    <t>Column J</t>
  </si>
  <si>
    <t>Column K</t>
  </si>
  <si>
    <t>Column M</t>
  </si>
  <si>
    <t>Column N</t>
  </si>
  <si>
    <t>Column O</t>
  </si>
  <si>
    <t>Column P</t>
  </si>
  <si>
    <t>Column Q</t>
  </si>
  <si>
    <t>Column F</t>
  </si>
  <si>
    <t>Column H</t>
  </si>
  <si>
    <t>Column R</t>
  </si>
  <si>
    <t>Offset area (ha)</t>
  </si>
  <si>
    <t>List validation: Low confidence &gt; 50% &lt;75%, Confident 75–90%, Very confident &gt;90%</t>
  </si>
  <si>
    <r>
      <rPr>
        <b/>
        <i/>
        <sz val="12"/>
        <color theme="1"/>
        <rFont val="Calibri"/>
        <family val="2"/>
        <scheme val="minor"/>
      </rPr>
      <t>Biodiversity</t>
    </r>
    <r>
      <rPr>
        <sz val="12"/>
        <color theme="1"/>
        <rFont val="Calibri"/>
        <family val="2"/>
        <charset val="134"/>
        <scheme val="minor"/>
      </rPr>
      <t xml:space="preserve"> </t>
    </r>
    <r>
      <rPr>
        <b/>
        <i/>
        <sz val="12"/>
        <color theme="1"/>
        <rFont val="Calibri"/>
        <family val="2"/>
        <scheme val="minor"/>
      </rPr>
      <t>Component</t>
    </r>
  </si>
  <si>
    <r>
      <rPr>
        <b/>
        <i/>
        <sz val="12"/>
        <color theme="1"/>
        <rFont val="Calibri"/>
        <family val="2"/>
        <scheme val="minor"/>
      </rPr>
      <t>Biodiversity</t>
    </r>
    <r>
      <rPr>
        <sz val="12"/>
        <color theme="1"/>
        <rFont val="Calibri"/>
        <family val="2"/>
        <charset val="134"/>
        <scheme val="minor"/>
      </rPr>
      <t xml:space="preserve"> </t>
    </r>
    <r>
      <rPr>
        <b/>
        <i/>
        <sz val="12"/>
        <color theme="1"/>
        <rFont val="Calibri"/>
        <family val="2"/>
        <scheme val="minor"/>
      </rPr>
      <t>Attribute</t>
    </r>
  </si>
  <si>
    <t>Column T</t>
  </si>
  <si>
    <t>Confidence in Offset Actions</t>
  </si>
  <si>
    <t>Key:</t>
  </si>
  <si>
    <t>Measurement Unit</t>
  </si>
  <si>
    <t>Column E</t>
  </si>
  <si>
    <t>Column G</t>
  </si>
  <si>
    <t>Column I</t>
  </si>
  <si>
    <t>Columns D &amp; E</t>
  </si>
  <si>
    <r>
      <t xml:space="preserve">Measure </t>
    </r>
    <r>
      <rPr>
        <b/>
        <i/>
        <u/>
        <sz val="12"/>
        <rFont val="Calibri"/>
        <family val="2"/>
        <scheme val="minor"/>
      </rPr>
      <t>prior to</t>
    </r>
    <r>
      <rPr>
        <b/>
        <i/>
        <sz val="12"/>
        <rFont val="Calibri"/>
        <family val="2"/>
        <scheme val="minor"/>
      </rPr>
      <t xml:space="preserve"> Impact</t>
    </r>
  </si>
  <si>
    <t xml:space="preserve">Benchmark </t>
  </si>
  <si>
    <t>Benchmark</t>
  </si>
  <si>
    <t>This section captures which elements of biodiversity, and over what area, will be impacted by the proposal</t>
  </si>
  <si>
    <r>
      <t xml:space="preserve">Measure </t>
    </r>
    <r>
      <rPr>
        <b/>
        <u/>
        <sz val="12"/>
        <color theme="6" tint="-0.499984740745262"/>
        <rFont val="Calibri"/>
        <family val="2"/>
        <scheme val="minor"/>
      </rPr>
      <t>prior to</t>
    </r>
    <r>
      <rPr>
        <b/>
        <sz val="12"/>
        <color theme="6" tint="-0.499984740745262"/>
        <rFont val="Calibri"/>
        <family val="2"/>
        <scheme val="minor"/>
      </rPr>
      <t xml:space="preserve"> Impact</t>
    </r>
  </si>
  <si>
    <r>
      <t xml:space="preserve">Measure </t>
    </r>
    <r>
      <rPr>
        <b/>
        <u/>
        <sz val="12"/>
        <color theme="6" tint="-0.499984740745262"/>
        <rFont val="Calibri"/>
        <family val="2"/>
        <scheme val="minor"/>
      </rPr>
      <t>after</t>
    </r>
    <r>
      <rPr>
        <b/>
        <sz val="12"/>
        <color theme="6" tint="-0.499984740745262"/>
        <rFont val="Calibri"/>
        <family val="2"/>
        <scheme val="minor"/>
      </rPr>
      <t xml:space="preserve">  Impact</t>
    </r>
  </si>
  <si>
    <r>
      <t xml:space="preserve">Measure </t>
    </r>
    <r>
      <rPr>
        <b/>
        <u/>
        <sz val="12"/>
        <color rgb="FF4F6228"/>
        <rFont val="Calibri"/>
        <family val="2"/>
        <scheme val="minor"/>
      </rPr>
      <t>prior to</t>
    </r>
    <r>
      <rPr>
        <b/>
        <sz val="12"/>
        <color rgb="FF4F6228"/>
        <rFont val="Calibri"/>
        <family val="2"/>
        <scheme val="minor"/>
      </rPr>
      <t xml:space="preserve"> Impact</t>
    </r>
  </si>
  <si>
    <r>
      <t xml:space="preserve">Measure </t>
    </r>
    <r>
      <rPr>
        <b/>
        <u/>
        <sz val="12"/>
        <color rgb="FF4F6228"/>
        <rFont val="Calibri"/>
        <family val="2"/>
        <scheme val="minor"/>
      </rPr>
      <t>after</t>
    </r>
    <r>
      <rPr>
        <b/>
        <sz val="12"/>
        <color rgb="FF4F6228"/>
        <rFont val="Calibri"/>
        <family val="2"/>
        <scheme val="minor"/>
      </rPr>
      <t xml:space="preserve">  Impact</t>
    </r>
  </si>
  <si>
    <r>
      <t xml:space="preserve">Measure </t>
    </r>
    <r>
      <rPr>
        <b/>
        <i/>
        <u/>
        <sz val="12"/>
        <rFont val="Calibri"/>
        <family val="2"/>
        <scheme val="minor"/>
      </rPr>
      <t>after</t>
    </r>
    <r>
      <rPr>
        <b/>
        <i/>
        <sz val="12"/>
        <rFont val="Calibri"/>
        <family val="2"/>
        <scheme val="minor"/>
      </rPr>
      <t xml:space="preserve">  Impact</t>
    </r>
  </si>
  <si>
    <t>Key</t>
  </si>
  <si>
    <t>User Input</t>
  </si>
  <si>
    <t>Not Required</t>
  </si>
  <si>
    <t>Calculations can be made for a finite end point, or at five yearly time-steps over 35 years. Indicate preference in Column K and Follow the instructions in Column L</t>
  </si>
  <si>
    <t>Time till endpoint (years)</t>
  </si>
  <si>
    <t>Columns K &amp; L</t>
  </si>
  <si>
    <t>This section captures which elements of biodiversity are to be accounted for, and the benchmark value for the Attribute. The information matches that in the Impact Model</t>
  </si>
  <si>
    <t>Contains a Lookup formula to find matching information from the corresponding Impact Model in order to auto-populate these cells.</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</si>
  <si>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charset val="134"/>
        <scheme val="minor"/>
      </rPr>
      <t>: If cell is unprotected, use ctrl+shift+enter to move out of cell rather than just enter to avoid breaking the array formula.</t>
    </r>
  </si>
  <si>
    <t>This is the average Net Present Biodiversity Value for the Biodiversity Component</t>
  </si>
  <si>
    <t xml:space="preserve">Attribute Net Present Biodiversity Value </t>
  </si>
  <si>
    <t xml:space="preserve">Component Net Present Biodiversity Value </t>
  </si>
  <si>
    <t>Attribute Net Present Biodiversity Value</t>
  </si>
  <si>
    <t>Component Net Present Biodiversity Value</t>
  </si>
  <si>
    <r>
      <t xml:space="preserve">Measure </t>
    </r>
    <r>
      <rPr>
        <b/>
        <u/>
        <sz val="12"/>
        <color theme="8" tint="-0.499984740745262"/>
        <rFont val="Calibri"/>
        <family val="2"/>
        <scheme val="minor"/>
      </rPr>
      <t>prior to</t>
    </r>
    <r>
      <rPr>
        <b/>
        <sz val="12"/>
        <color theme="8" tint="-0.499984740745262"/>
        <rFont val="Calibri"/>
        <family val="2"/>
        <scheme val="minor"/>
      </rPr>
      <t xml:space="preserve"> Offset </t>
    </r>
  </si>
  <si>
    <r>
      <t xml:space="preserve">Measure </t>
    </r>
    <r>
      <rPr>
        <b/>
        <u/>
        <sz val="12"/>
        <color theme="8" tint="-0.499984740745262"/>
        <rFont val="Calibri"/>
        <family val="2"/>
        <scheme val="minor"/>
      </rPr>
      <t>after</t>
    </r>
    <r>
      <rPr>
        <b/>
        <sz val="12"/>
        <color theme="8" tint="-0.499984740745262"/>
        <rFont val="Calibri"/>
        <family val="2"/>
        <scheme val="minor"/>
      </rPr>
      <t xml:space="preserve"> Offset </t>
    </r>
  </si>
  <si>
    <r>
      <t xml:space="preserve">Measure </t>
    </r>
    <r>
      <rPr>
        <b/>
        <i/>
        <u/>
        <sz val="12"/>
        <color theme="1"/>
        <rFont val="Calibri"/>
        <family val="2"/>
        <scheme val="minor"/>
      </rPr>
      <t>prior to</t>
    </r>
    <r>
      <rPr>
        <b/>
        <i/>
        <sz val="12"/>
        <color theme="1"/>
        <rFont val="Calibri"/>
        <family val="2"/>
        <scheme val="minor"/>
      </rPr>
      <t xml:space="preserve"> Offset</t>
    </r>
  </si>
  <si>
    <r>
      <t xml:space="preserve">Measure </t>
    </r>
    <r>
      <rPr>
        <b/>
        <i/>
        <u/>
        <sz val="12"/>
        <color theme="1"/>
        <rFont val="Calibri"/>
        <family val="2"/>
        <scheme val="minor"/>
      </rPr>
      <t>after</t>
    </r>
    <r>
      <rPr>
        <b/>
        <i/>
        <sz val="12"/>
        <color theme="1"/>
        <rFont val="Calibri"/>
        <family val="2"/>
        <scheme val="minor"/>
      </rPr>
      <t xml:space="preserve"> the Offset</t>
    </r>
  </si>
  <si>
    <t>Proposed Offset Actions</t>
  </si>
  <si>
    <t>Cell content</t>
  </si>
  <si>
    <t>Auto-filled</t>
  </si>
  <si>
    <t>These cells provide information about the proposed Offset Actions</t>
  </si>
  <si>
    <t>Tab colour</t>
  </si>
  <si>
    <t>Guide for Impact Model</t>
  </si>
  <si>
    <t>=IF(R15="Not calculated","Not calculated",SUM(R15:R19)/ROUND(COUNTIF(R15:R19,"&gt;0")+COUNTIF(R15:R19,"&lt;0"),0))</t>
  </si>
  <si>
    <t>List validation: Not calculated, Finite end point, Five yearly time-step</t>
  </si>
  <si>
    <t>Low confidence &gt;50% &lt;75%</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</si>
  <si>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charset val="134"/>
        <scheme val="minor"/>
      </rPr>
      <t xml:space="preserve">: If cell is unprotected, use ctrl+shift+enter to move out of cell rather than just enter to avoid breaking the array formula. Cell contains  Conditional Formatting to turn 'on' or 'off' dependent on choice made in Column K. </t>
    </r>
  </si>
  <si>
    <t xml:space="preserve">Cell contains conditional Formatting to turn 'on' or 'off' dependent on choice made in Column K. </t>
  </si>
  <si>
    <t xml:space="preserve">Cell contains  Conditional Formatting to turn 'on' or 'off' dependent on choice made in Column K. </t>
  </si>
  <si>
    <t>Column B</t>
  </si>
  <si>
    <t>IMPACT  MODEL</t>
  </si>
  <si>
    <t>IMPACT MODEL</t>
  </si>
  <si>
    <t>Time till end point (years)</t>
  </si>
  <si>
    <t>Impact Model</t>
  </si>
  <si>
    <t>Worksheet explanation</t>
  </si>
  <si>
    <t>Choose option</t>
  </si>
  <si>
    <t>This section is where the marginal change in the measure of Biodiversity Attribute due to the Offset Action is quantified. Inputs are derived from direct measure, existing data or models where available, or expert estimated predictions. Attribute Biodiversity Value at the Offset Site is compared to the Attribute Biodiversity Value at the Impact Site to calculate the Net Present Biodiversity Value for each Attribute</t>
  </si>
  <si>
    <t>This section is where the change in measure of each Biodiversity Attribute due to the proposed Impact is quantified, and Attribute Biodiversity Value calculated.  Inputs are derived from direct measures, existing data or models where available, or expert estimated predictions</t>
  </si>
  <si>
    <t>=IF(K15="Finite end point",IFERROR(IF(ISBLANK(O15),"",((IF($J15="Low confidence &gt;50% &lt;75%",(IF(N15&lt;$G15,N15/$G15,1)-IF(M15&lt;$G15,M15/$G15,1))*0.62,IF($J15="Confident 75-90%",(IF(N15&lt;$G15,N15/$G15,1)-IF(M15&lt;$G15,M15/$G15,1))*0.825,IF($J15="Very confident &gt;90%",(IF(N15&lt;$G15,N15/$G15,1)-IF(M15&lt;$G15,M15/$G15,1))*0.955)))))/(1+$E$11)^O15)*(I15),"Not calculated"),"Not calculated")</t>
  </si>
  <si>
    <t>='Impact Model'!B11</t>
  </si>
  <si>
    <t>Contains a Lookup formula to find matching information in the Impact Model in order to auto-populate this cell.</t>
  </si>
  <si>
    <t>Contains a Lookup formula to find matching information in the  Impact Model in order to auto-populate this cell.</t>
  </si>
  <si>
    <t xml:space="preserve">Measure prior to Offset </t>
  </si>
  <si>
    <t xml:space="preserve">Measure after Offset </t>
  </si>
  <si>
    <t>Guide for Offset Model</t>
  </si>
  <si>
    <t>Guide for Offset Model_5 yearly</t>
  </si>
  <si>
    <t>Offset Model / Offset Model_5 yearly</t>
  </si>
  <si>
    <t>Use the Offset Model when calculating NPBV for a finite end point</t>
  </si>
  <si>
    <t>OFFSET MODEL</t>
  </si>
  <si>
    <t>Additional formula within this equation is used to instruct cell to return a message  ('Not calculated') when this value has not been calculated. If the User chooses to calculate the Attribute NPBV at five yearly time-steps, the equation imports this value from the Offset Model_ 5 yearly worksheet. This equation runs off named cell ranges (NPBV1.1a, NPBV1.1b etc. which are contained (and hidden) within the Offset Model_5 yearly worksheet (Columns V-AC). Values in this cell appear in red bold font when NPBV is less than zero.</t>
  </si>
  <si>
    <r>
      <t xml:space="preserve">The Accounting Model comprises a Impact </t>
    </r>
    <r>
      <rPr>
        <i/>
        <sz val="14"/>
        <color theme="1"/>
        <rFont val="Calibri"/>
        <family val="2"/>
        <scheme val="minor"/>
      </rPr>
      <t>and</t>
    </r>
    <r>
      <rPr>
        <sz val="14"/>
        <color theme="1"/>
        <rFont val="Calibri"/>
        <family val="2"/>
        <scheme val="minor"/>
      </rPr>
      <t xml:space="preserve"> a Offset Model.  Both need to be used to calculate Net Present Biodiversity Value of each Biodiversity Attribute (NPBV) following the proposed Offset Action. The 'Guide' worksheets provide additional information and guidance regarding the input variables for each of  the Models. These worksheets should be read in conjunction with the </t>
    </r>
    <r>
      <rPr>
        <i/>
        <sz val="14"/>
        <color theme="1"/>
        <rFont val="Calibri"/>
        <family val="2"/>
        <scheme val="minor"/>
      </rPr>
      <t xml:space="preserve">Accounting Model User Manual. </t>
    </r>
  </si>
  <si>
    <t>For each Biodiversity Type of interest, a separate Impact Model needs to be completed (a separate workbook in a new Excel file is required for each Biodiversity Type).  Multiple Biodiversity Components can be entered under each Biodiversity Type. The Impact Model must be completed prior to the Offset Model. There are enough tables within this worksheet to account for 30 Biodiversity Components. The tables run vertically down the sheet, and need to be used in consecutive order.</t>
  </si>
  <si>
    <r>
      <t>Adds up the rows which contain Attribute values and divides by the number of Attributes entered.  Additional formula within this equation is used to instruct cell to return a message  ('Not calculated') when this value has not been calculated. Cell contains Conditional Formatting to turn 'on' or 'off' dependent on choice made in Column K. Values in this cell appear in red bold font when the average NPBV is less than zero.</t>
    </r>
    <r>
      <rPr>
        <b/>
        <sz val="12"/>
        <color theme="1"/>
        <rFont val="Calibri"/>
        <family val="2"/>
        <scheme val="minor"/>
      </rPr>
      <t>**If more than five Attributes are to be accounted for the User will need to adjust calculation to capture additional Attribute rows. If less than five Attributes are to be averaged, no adjustment is required.</t>
    </r>
  </si>
  <si>
    <t>=IF(K15="Choose option", "Not calculated",IF(K15="Finite end point",SUM(P15:Q15),IF(COUNTIF('Offset Model_5 yearly'!V15:AC15,"&gt;=0")&lt;1,INDEX('Offset Model_5 yearly'!V15:AC15,1,COUNT('Offset Model_5 yearly'!V15:AC15)),INDEX('Offset Model_5 yearly'!V15:AC15,1,MATCH(TRUE,INDEX('Offset Model_5 yearly'!V15:AC15&gt;=0,1,0),)))))</t>
  </si>
  <si>
    <t>=VLOOKUP(B11,'Impact Model'!$B$10:$N$340,2,FALSE)</t>
  </si>
  <si>
    <t>=VLOOKUP(B15,'Impact Model'!$B$14:$N$340,2,FALSE)</t>
  </si>
  <si>
    <t>=VLOOKUP(D15,'Impact Model_1'!$D$15:$N$340,2,FALSE)</t>
  </si>
  <si>
    <t>{=INDEX('Impact Model'!$D$15:$F$340,MATCH(D15&amp;E15,'Impact Model'!$D$15:$D$340&amp;'Impact Model'!$E$15:$E$340,0),3)}</t>
  </si>
  <si>
    <t>{=INDEX('Impact Model'!$D$15:$N$340,MATCH(D15&amp;E15,'Impact Model'!$D$15:$D$340&amp;'Impact Model'!$E$15:$E$340,0),9)}</t>
  </si>
  <si>
    <t>This is the difference between the future value of the Attribute after the Offset action (Column N) and the current value of the Attribute at the Offset Site prior to the Offset being implemented (Column M). This change in Attribute value is calculated as a proportion of the Benchmark (Column G). Any Attribute value greater than the Benchmark is truncated to 1. The proportional raw gain is adjusted to the level of confidence in the Offset Actions succeeding, by multiplying the raw gain by the midpoint of the confidence range (Column J). This calculation also incorporates the time preference discount rate (cell E11) and the time taken to reach the stated objective for the Offset Action (Column O). The gain in value is multiplied across the Offset Area (Column I) to give a final Attribute value.</t>
  </si>
  <si>
    <t>This value is imported from the corresponding Impact Model and feeds into the Offset Model spreadsheet (Column R).</t>
  </si>
  <si>
    <t xml:space="preserve">The Net Present Biodiversity Value (NPBV) is determined for each Attribute by calculating the difference between the Attribute biodiversity value at the Offset Site and at the Impact Site to give the net change in biodiversity value over time. A no net loss biodiversity exchange is demonstrated when this value is equal to or greater than zero.  Negative values demonstrate a net loss, positive values demonstrate a net gain. 
Where the five yearly time-step option is chosen (Offset Model_5 yearly), this cell is populated with the Attribute NPBV value at the point that is equal or greater than zero or, when a equal or greater than zero NPBV is not reached, the NPBV at Year 35.  </t>
  </si>
  <si>
    <t>OFFSETS MODEL</t>
  </si>
  <si>
    <t>IFERROR(IF(ISBLANK(J15),"",(IF(J15&lt;H15,J15/H15,1)-IF(I15&lt;H15,I15/H15,1)))*(G15),"Not calculated")</t>
  </si>
  <si>
    <t>Cell C11. Biodiversity Type describes the key biodiversity features of concern found at the Impact Site and can include ecosystems, habitats, or species.  Examples include: Lowland podocarp-hardwood forest, coal measures, or a river and riparian ecosystem. Threatened and iconic species and rare or special features may also be listed as Biodiversity Types. Each Biodiversity Type requires its own workbook (copy of the Model template).</t>
  </si>
  <si>
    <t>Identify and input Biodiversity Components to help describe what makes up the Biodiversity Type. Include as many Biodiversity Components as required to adequately represent the Biodiversity Type of concern. Each Biodiversity Type may have several associated Biodiversity Components and each Biodiversity Component requires its own set of Attributes. Examples of components include: vegetation tiers  (e.g. ground, understory, canopy, epiphyte, climber), habitat types (e.g. lizard habitat, inanga spawning areas, dune slack wetland), related groups of indigenous species (e.g. vertebrate, invertebrate, bird, bat, lizard), or functional roles (insectivore/predator, nectarivore/pollinator and frugivore/seed disperser).  
Biodiversity Components are automatically  identified numerically in relation to the Biodiversity Type they contribute to (e.g. 1.1, 1.2, 1.3).
Biodiversity components must match between the Impact and Offset Models.</t>
  </si>
  <si>
    <t>Identify and input Biodiversity Attributes as measures of the  condition or the quantity of the Biodiversity Component. The Biodiversity Attributes  are the measures balanced in this accounting system to demonstrate no net loss. Biodiversity Attributes have equal weighting reflecting the like for like exchange. Each Biodiversity Component requires at least one Biodiversity Attribute, and may need several,  to fully capture 'what we care about’. The tables allow for five Attributes to be entered, but each must have their own row. 
Attributes are automatically identified alphabetically in relation to the Biodiversity Component they are a part of (e.g. 1.1a, 1.1b, 1.1c).
The disaggregated nature of the currency allows for the duplication of a component requiring more than five attributes. 
Biodiversity attributes must match between the Impact and Offset Models.</t>
  </si>
  <si>
    <t>Measure and input the extent of habitat or area (ha) supporting the Biodiversity Type and over which the Biodiversity Attribute will be impacted by the proposal. For example, if the  Biodiversity Type is a threatened plant species, the area of Impact is the total area (ha) of the vegetation community supporting that species that will be affected by the proposed impact, not just the summed area occupied by individual plants.</t>
  </si>
  <si>
    <t xml:space="preserve">Estimate and input the predicted value of the Attribute at the Impact Site following the proposed Impact. The value is expressed in the stated Measurement Unit (Column F), using the same method of measurement as for the Benchmark. The quantum of Impact may be derived from the Assessment of Environmental Effects, or predictive models may be needed to inform this value. Experts with expertise relevant to each  Biodiversity Attribute may be able to confidently estimate post Impact values. </t>
  </si>
  <si>
    <t>Enter measurement Units for each Biodiversity Attribute.  For example, if the Attribute is 'number of adults' the Measurement Unit would be a count. If the Attribute is 'spatial extent of a vegetation tier', the Measurement Unit might be percent. 
For each attribute, the same measurement units must be used in the Impact and Offset Models.</t>
  </si>
  <si>
    <t>Measure and input the measured value of the Biodiversity Attribute at the Impact Site prior to the proposed Impact occurring.  This is the measure of biodiversity loss in the loss/gain calculation.  The value is expressed in the stated Measurement Unit (Column F), using the same method of measurement as for the Benchmark.  If the Impact to the Attribute is total loss, enter a value of zero.</t>
  </si>
  <si>
    <t xml:space="preserve">Equation to adjust change so that the pre and post impact values are in proportion to the Benchmark. Values prior (Column I) and post Impact (Column J) are truncated to 1 if these values are greater than the Benchmark. Additional instructions are used within this equation to return 'Not calculated' if the Attribute Value has not been calculated. </t>
  </si>
  <si>
    <t>Biodiversity value</t>
  </si>
  <si>
    <t>Biodiversity Value</t>
  </si>
  <si>
    <t>Cell B11. The User is required to input the number assigned to the Biodiversity Type (1 for the first Type, 2 for the second, three for the third etc.).  The number assigned to each Biodiversity Type must be the same within the Impact Model and the Offset Models (this auto populates to the Offset Model from the Impact Model). Biodiversity Components and Biodiversity Attributes are automatically numbered accordingly once Cell B11 is populated.</t>
  </si>
  <si>
    <t>Input Benchmark values specific to each Biodiversity Attribute. 
Measurements of ecological condition or quality require reference to a benchmark state that reflects a 'natural' or 'pristine' or other desirable condition.  The benchmark provides an objective framework, and a common reference point, for evaluating biodiversity losses and gains across Impact and Offset Sites.  It may be necessary to employ multiple benchmarks relevant to different Biodiversity Attributes. 
Benchmarks are ideally measured, using the same units as for attributes, from a real site of the same vegetation community type of the Impact and Offset Site, and be a site that has been under sustained conservation management or be of the highest possible condition (and not simply a site reflective of general condition of other sites within the area). Where such a site does not exist, ecologists with expertise relevant to the Biodiversity Attribute being measured may be able to describe an appropriate Benchmark value. Expert derived estimates will likely require input from a number of ecologists whose expertise spans the relevant Biodiversity Components and Attributes.  The overall condition of the Benchmark site is required to be equal to or greater than the overall condition of the Impact and Offset Sites. The same Measurement Unit (Column F) must be used to describe the Biodiversity Attribute within the Benchmark, Impact and Offset sites.</t>
  </si>
  <si>
    <t xml:space="preserve">This is the calculated value of the Biodiversity Attribute at the Impact Site following the Impact.  Attribute biodiversity value is the measure of the Attribute after the Impact, relative to the measure prior to the Impact, and adjusted in proportion to the Benchmark. Any Attribute value greater than the Benchmark value is truncated to 1 within the equation. This change in biodiversity value is then multiplied across the area of proposed Impact.  </t>
  </si>
  <si>
    <t>Cell B11. The Offsets Model will auto populate with the same number as was entered in the Impact Model. Biodiversity Attributes (Column D) are automatically numbered accordingly once Cell B11 is auto-populated.</t>
  </si>
  <si>
    <r>
      <t xml:space="preserve">Cell E11. Enter a discrete discount rate before any other values are entered into the Offset Model. The same discount rate applies to all Biodiversity Types, Components, and Attributes in the Offset Model. For more discussion on discount rates see the </t>
    </r>
    <r>
      <rPr>
        <i/>
        <sz val="12"/>
        <color theme="1"/>
        <rFont val="Calibri"/>
        <family val="2"/>
        <scheme val="minor"/>
      </rPr>
      <t>Good Practice Guidance.</t>
    </r>
  </si>
  <si>
    <t>For Columns C, D, F, and G, the Offsets Model will auto populate the corresponding value from the Impact Model. See the Guide for Impact Model for further explanation on Biodiversity Components, Biodiversity Attributes, and Measurement Units. 
Biodiversity Components and Attributes are automatically assigned a unique identifier (Columns B and D) once Cell B11 is auto populated from the Impact Model.</t>
  </si>
  <si>
    <t>Define and Input brief detail of the action(s) (management intervention) proposed to Offset Impact. Further detail can be provided in supporting documentation.</t>
  </si>
  <si>
    <t xml:space="preserve">Input the area (in hectares) over which the Offset activity related to this Biodiversity Attribute will be implemented. The same Offset activity, and therefore the same area over which the Offset activity is to be implemented, can apply to more than one Attribute. </t>
  </si>
  <si>
    <t xml:space="preserve">Time period over which to calculate NPBV </t>
  </si>
  <si>
    <t>Measure and input the value of the Biodiversity Attribute at the Offset Site prior to the proposed Offset Action being implemented, expressed in the Measurement Unit (Column F). The methods/models used to measure the Attribute at the Offset Site need to be identical to those used to measure the same Attribute at the Impact Site.</t>
  </si>
  <si>
    <t>Estimate and input the value of the Biodiversity Attribute at the Offset Site following the proposed Offset Action at the finite end point — the time at which the Offset Action is anticipated to have achieved the stated objective (Column O), expressed in the Measurement Unit (Column F).  Predictive models may be needed to inform this measure. Experts with expertise relevant to each Biodiversity Attribute may be able to estimate future measures.
For the Model output to be meaningful, it is important that the attribute is responsive to management and this value is plausible.</t>
  </si>
  <si>
    <t xml:space="preserve"> Biodiversity Value at Offset Site</t>
  </si>
  <si>
    <t xml:space="preserve"> Biodiversity Value at Impact Site</t>
  </si>
  <si>
    <t>Biodiversity Value at Offset Site</t>
  </si>
  <si>
    <t xml:space="preserve"> Biodiversity Value at Impact Site </t>
  </si>
  <si>
    <t xml:space="preserve">Biodiversity Value at Impact Site </t>
  </si>
  <si>
    <r>
      <t>T</t>
    </r>
    <r>
      <rPr>
        <sz val="12"/>
        <color theme="1"/>
        <rFont val="Calibri"/>
        <family val="2"/>
        <charset val="134"/>
        <scheme val="minor"/>
      </rPr>
      <t>he NPBV for each component is calculated by averaging the NPBV of all the Attributes used to account for the Biodiversity Component (whether they were calculated using a finite end point or a five yearly time-step). All Biodiversity Attributes are equally weighted.</t>
    </r>
  </si>
  <si>
    <t>Decide whether to run calculations across five yearly time-steps for 35 years, or at a finite,  user defined end point.  The time-step calculation is limited to 35 years to reflect the maximum life of a resource consent. The finite end point is not time restricted. It is important to consider that management required to maintain the Offset over the long-term may be necessary beyond the time taken to demonstrate no net loss. 
Indicate preference using the drop-down list in Column K and follow the instructions in Column L.</t>
  </si>
  <si>
    <r>
      <rPr>
        <b/>
        <i/>
        <sz val="12"/>
        <color theme="1"/>
        <rFont val="Calibri"/>
        <family val="2"/>
        <scheme val="minor"/>
      </rPr>
      <t xml:space="preserve">Discount Rate </t>
    </r>
  </si>
  <si>
    <t>DISCOUNT RATE</t>
  </si>
  <si>
    <r>
      <t xml:space="preserve">Estimate and input the likelihood that the proposed Offset Action (Column H) will be successful within the specified time estimate (Column O). This reflects that even with proven management techniques some uncertainty around outcomes is always present e.g. restoration plantings may fail due to unanticipated drought or pest pressures, or possum control targets may not be met due to bait interference by an unexpectedly high rat population. This confidence level does not include risk of default or failing to implement the proposed Offset Actions. 
Choose a confidence rating from the dropdown list, as follows:
</t>
    </r>
    <r>
      <rPr>
        <b/>
        <sz val="12"/>
        <color theme="1"/>
        <rFont val="Calibri"/>
        <family val="2"/>
        <scheme val="minor"/>
      </rPr>
      <t xml:space="preserve">Low confidence: </t>
    </r>
    <r>
      <rPr>
        <sz val="12"/>
        <color theme="1"/>
        <rFont val="Calibri"/>
        <family val="2"/>
        <charset val="134"/>
        <scheme val="minor"/>
      </rPr>
      <t xml:space="preserve">The proposed Offset Action uses methods that have either been successfully implemented in New Zealand or in the situation and context relevant to the Offset Site but infrequently, or the outcomes of the proposed Offset Action are not well proven or documented, or success rates elsewhere have been shown to be variable. Likelihood of success is &gt; 50% but &lt; 75%.
</t>
    </r>
    <r>
      <rPr>
        <b/>
        <sz val="12"/>
        <color theme="1"/>
        <rFont val="Calibri"/>
        <family val="2"/>
        <scheme val="minor"/>
      </rPr>
      <t>Confident:</t>
    </r>
    <r>
      <rPr>
        <sz val="12"/>
        <color theme="1"/>
        <rFont val="Calibri"/>
        <family val="2"/>
        <charset val="134"/>
        <scheme val="minor"/>
      </rPr>
      <t xml:space="preserve"> The proposed Offset Action uses well known and often implemented methods which have been proven to succeed greater than 75% of the time although enough complicating factors and/or expert opinion exists to not have greater confidence in this Offset Action. Likelihood of success is greater than 75% but less than 90%.
</t>
    </r>
    <r>
      <rPr>
        <b/>
        <sz val="12"/>
        <color theme="1"/>
        <rFont val="Calibri"/>
        <family val="2"/>
        <scheme val="minor"/>
      </rPr>
      <t>Very confident</t>
    </r>
    <r>
      <rPr>
        <sz val="12"/>
        <color theme="1"/>
        <rFont val="Calibri"/>
        <family val="2"/>
        <charset val="134"/>
        <scheme val="minor"/>
      </rPr>
      <t>: The proposed Offset Action uses methods that are well tested and repeatedly proven to be very reliable for the situation and context relevant to the Offset Site; evidence-based expert opinion is that success is very likely. Likelihood of success is &gt; 90%.</t>
    </r>
  </si>
  <si>
    <t>Cell formulae</t>
  </si>
  <si>
    <t>Predict and input the anticipated number of years (from the time of implementing the Offset Action) until the  Offset Action is expected to achieve the Offset goal.</t>
  </si>
  <si>
    <t>Cell C11. The Offsets Model will auto populate this cell with the text entered in Cell C11 of the Impact Model. See the Guide for Impact Model for further explanation on Biodiversity Type.</t>
  </si>
  <si>
    <t xml:space="preserve">The Offsets Model will auto populate this cell with the same value as was entered into the Impact Model (Column H, Impact Model).  See the Guide for Impact Model for further explanation on Benchmarks. </t>
  </si>
  <si>
    <t>{=INDEX('Impact Model'!$D$15:$H$340,MATCH(D15&amp;E15,'Impact Model'!$D$15:$D$340&amp;'Impact Model'!$E$15:$E$340,0),5)}</t>
  </si>
  <si>
    <r>
      <t xml:space="preserve">The Offset Model needs to match the corresponding Impact Model for each Biodiversity Type.  Thus, Biodiversity Components and Attributes are automatically copied from the Impact Model to the Offset Model spreadsheets.  
There are two options for the time period at which to calculate NPBV. If the User decides to calculate NPBV as it accrues at five yearly time-steps </t>
    </r>
    <r>
      <rPr>
        <b/>
        <sz val="14"/>
        <color theme="1"/>
        <rFont val="Calibri"/>
        <family val="2"/>
        <scheme val="minor"/>
      </rPr>
      <t>both</t>
    </r>
    <r>
      <rPr>
        <b/>
        <i/>
        <sz val="14"/>
        <color theme="1"/>
        <rFont val="Calibri"/>
        <family val="2"/>
        <scheme val="minor"/>
      </rPr>
      <t xml:space="preserve"> </t>
    </r>
    <r>
      <rPr>
        <sz val="14"/>
        <color theme="1"/>
        <rFont val="Calibri"/>
        <family val="2"/>
        <scheme val="minor"/>
      </rPr>
      <t>the</t>
    </r>
    <r>
      <rPr>
        <b/>
        <i/>
        <sz val="14"/>
        <color theme="1"/>
        <rFont val="Calibri"/>
        <family val="2"/>
        <scheme val="minor"/>
      </rPr>
      <t xml:space="preserve"> </t>
    </r>
    <r>
      <rPr>
        <sz val="14"/>
        <color theme="1"/>
        <rFont val="Calibri"/>
        <family val="2"/>
        <scheme val="minor"/>
      </rPr>
      <t>Offset Model and Offset Model_ 5 yearly are used. If NPBV is to be calculated only at finite end point, only the Offset Model is required. Both NPBV timescales can be used within the same Biodiversity Component (i.e. one Attribute can be calculated to a finite end point, and another Attribute across five yearly time-steps). Both Offset Models have enough tables to account for 30 Biodiversity Components.  However, only the first table is 'live' (coloured).  All others are 'turned off' (coloured white) until the corresponding table is utilised within the Impact Model. Within the Offset Model_5 yearly, only the rows needed for Attributes that the User has chosen to calculate using the five yearly time-step will be 'turned on'.</t>
    </r>
  </si>
  <si>
    <t>Additional formula within this equation is used to instruct cell to return a message ('Not calculated') when this value has not been calculated.   Confidence midpoints used to account for confidence are: Low confidence (&gt;50% &lt;75%) 62; Confident (75%–90%) 82.5; Very confident (&gt;90%) 95.5. Midpoints are converted to proportions (0.62, 0.825, 0.955) for the calculation. Cell contains Conditional Formatting to turn 'on' or 'off' dependent on choice made in Column K.</t>
  </si>
  <si>
    <t>VERSION DATE: 26 March 2015</t>
  </si>
  <si>
    <t>Finite end point</t>
  </si>
  <si>
    <t>50m stream reaches impacted</t>
  </si>
  <si>
    <r>
      <t xml:space="preserve">Measure </t>
    </r>
    <r>
      <rPr>
        <b/>
        <u/>
        <sz val="12"/>
        <color theme="6" tint="-0.499984740745262"/>
        <rFont val="Calibri"/>
        <family val="2"/>
        <scheme val="minor"/>
      </rPr>
      <t>prior to</t>
    </r>
    <r>
      <rPr>
        <b/>
        <sz val="12"/>
        <color theme="6" tint="-0.499984740745262"/>
        <rFont val="Calibri"/>
        <family val="2"/>
        <scheme val="minor"/>
      </rPr>
      <t xml:space="preserve"> Impact </t>
    </r>
  </si>
  <si>
    <t>Pest exclusion fence (WMNZ land)</t>
  </si>
  <si>
    <t>Confident 75-90%</t>
  </si>
  <si>
    <t>Area</t>
  </si>
  <si>
    <t>Tussock Grassland</t>
  </si>
  <si>
    <t>Tussock extent measured from aerial images</t>
  </si>
  <si>
    <t>Tussock cover measured from cover in 10m x 10m plots randomly located in tussock community in impact area and Murphys EEA (10 in each)</t>
  </si>
  <si>
    <t>Area impacted</t>
  </si>
  <si>
    <t>% cover</t>
  </si>
  <si>
    <t>% cover within extent of tussock grassland</t>
  </si>
  <si>
    <t>Stock exclusion and planting as required</t>
  </si>
  <si>
    <t>%</t>
  </si>
  <si>
    <t>% gain calculated for mapped extent in Murphys EEA. If extent increases then % cover target will shift</t>
  </si>
  <si>
    <t>Inter-tussock Indigeneity</t>
  </si>
  <si>
    <t>Representation by indigenous species</t>
  </si>
  <si>
    <t>Stock exclusion</t>
  </si>
  <si>
    <t>Inter-tussock indigeneity measured as species shoot presence in 25 5 cm x 5 cm cells within a 50 cm x 50 cm grid square placed in each of the four corners of the 10m x 10m plots. Indigenity is calculated of the sum of cells occupied by shoots of indigenous species divided by total shoot presence in all grid squares within the impact sites and at Murphys EEA</t>
  </si>
  <si>
    <t>Shrubland extent in Murphys expected to increase with cessation of grazing and likely to eventually displace most tussock grassland at site over a 100 to 500 year period.</t>
  </si>
  <si>
    <t>Tussock regeneration rates in this area are not known. Incidental observations indicate a paucity of young plants and also viable seed. This aspect needs further investigation</t>
  </si>
  <si>
    <t>% gain is based on recovery of previously burnt tussock to normal stature - a process likely to take 10-30 years</t>
  </si>
  <si>
    <t>Very confident &gt;90%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</si>
</sst>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7">
    <font>
      <sz val="12"/>
      <color theme="1"/>
      <name val="Calibri"/>
      <family val="2"/>
      <charset val="134"/>
      <scheme val="minor"/>
    </font>
    <font>
      <b/>
      <sz val="12"/>
      <color theme="1"/>
      <name val="Calibri"/>
      <family val="2"/>
      <scheme val="minor"/>
    </font>
    <font>
      <u/>
      <sz val="12"/>
      <color theme="10"/>
      <name val="Calibri"/>
      <family val="2"/>
      <scheme val="minor"/>
    </font>
    <font>
      <u/>
      <sz val="12"/>
      <color theme="11"/>
      <name val="Calibri"/>
      <family val="2"/>
      <scheme val="minor"/>
    </font>
    <font>
      <i/>
      <sz val="12"/>
      <color theme="1"/>
      <name val="Calibri"/>
      <family val="2"/>
      <scheme val="minor"/>
    </font>
    <font>
      <b/>
      <i/>
      <sz val="12"/>
      <color theme="1"/>
      <name val="Calibri"/>
      <family val="2"/>
      <scheme val="minor"/>
    </font>
    <font>
      <b/>
      <sz val="20"/>
      <color theme="8" tint="-0.499984740745262"/>
      <name val="Calibri"/>
      <family val="2"/>
      <scheme val="minor"/>
    </font>
    <font>
      <b/>
      <sz val="12"/>
      <color theme="8" tint="-0.499984740745262"/>
      <name val="Calibri"/>
      <family val="2"/>
      <scheme val="minor"/>
    </font>
    <font>
      <b/>
      <u/>
      <sz val="12"/>
      <color theme="8" tint="-0.499984740745262"/>
      <name val="Calibri"/>
      <family val="2"/>
      <scheme val="minor"/>
    </font>
    <font>
      <b/>
      <i/>
      <sz val="12"/>
      <name val="Calibri"/>
      <family val="2"/>
      <scheme val="minor"/>
    </font>
    <font>
      <b/>
      <i/>
      <u/>
      <sz val="12"/>
      <color theme="1"/>
      <name val="Calibri"/>
      <family val="2"/>
      <scheme val="minor"/>
    </font>
    <font>
      <sz val="8"/>
      <name val="Calibri"/>
      <family val="2"/>
      <scheme val="minor"/>
    </font>
    <font>
      <b/>
      <i/>
      <u/>
      <sz val="12"/>
      <name val="Calibri"/>
      <family val="2"/>
      <scheme val="minor"/>
    </font>
    <font>
      <sz val="12"/>
      <color theme="8" tint="-0.499984740745262"/>
      <name val="Calibri"/>
      <family val="2"/>
      <scheme val="minor"/>
    </font>
    <font>
      <sz val="12"/>
      <name val="Calibri"/>
      <family val="2"/>
      <scheme val="minor"/>
    </font>
    <font>
      <sz val="14"/>
      <color theme="8" tint="-0.499984740745262"/>
      <name val="Calibri"/>
      <family val="2"/>
      <scheme val="minor"/>
    </font>
    <font>
      <sz val="14"/>
      <color theme="1"/>
      <name val="Calibri"/>
      <family val="2"/>
      <scheme val="minor"/>
    </font>
    <font>
      <b/>
      <sz val="14"/>
      <color theme="1"/>
      <name val="Calibri"/>
      <family val="2"/>
      <scheme val="minor"/>
    </font>
    <font>
      <i/>
      <sz val="14"/>
      <color theme="1"/>
      <name val="Calibri"/>
      <family val="2"/>
      <scheme val="minor"/>
    </font>
    <font>
      <b/>
      <sz val="12"/>
      <color theme="6" tint="-0.499984740745262"/>
      <name val="Calibri"/>
      <family val="2"/>
      <scheme val="minor"/>
    </font>
    <font>
      <sz val="14"/>
      <color theme="6" tint="-0.499984740745262"/>
      <name val="Calibri"/>
      <family val="2"/>
      <scheme val="minor"/>
    </font>
    <font>
      <b/>
      <u/>
      <sz val="12"/>
      <color theme="6" tint="-0.499984740745262"/>
      <name val="Calibri"/>
      <family val="2"/>
      <scheme val="minor"/>
    </font>
    <font>
      <b/>
      <sz val="20"/>
      <color theme="6" tint="-0.499984740745262"/>
      <name val="Calibri"/>
      <family val="2"/>
      <scheme val="minor"/>
    </font>
    <font>
      <sz val="12"/>
      <color theme="6" tint="-0.499984740745262"/>
      <name val="Calibri"/>
      <family val="2"/>
      <scheme val="minor"/>
    </font>
    <font>
      <b/>
      <sz val="16"/>
      <color theme="6" tint="-0.499984740745262"/>
      <name val="Calibri"/>
      <family val="2"/>
      <scheme val="minor"/>
    </font>
    <font>
      <b/>
      <sz val="12"/>
      <color rgb="FF4F6228"/>
      <name val="Calibri"/>
      <family val="2"/>
      <scheme val="minor"/>
    </font>
    <font>
      <b/>
      <u/>
      <sz val="12"/>
      <color rgb="FF4F6228"/>
      <name val="Calibri"/>
      <family val="2"/>
      <scheme val="minor"/>
    </font>
    <font>
      <b/>
      <sz val="16"/>
      <color theme="8" tint="-0.499984740745262"/>
      <name val="Calibri"/>
      <family val="2"/>
      <scheme val="minor"/>
    </font>
    <font>
      <b/>
      <sz val="18"/>
      <color theme="1"/>
      <name val="Calibri"/>
      <family val="2"/>
      <scheme val="minor"/>
    </font>
    <font>
      <sz val="18"/>
      <color theme="1"/>
      <name val="Calibri"/>
      <family val="2"/>
      <scheme val="minor"/>
    </font>
    <font>
      <sz val="16"/>
      <color theme="1"/>
      <name val="Calibri"/>
      <family val="2"/>
      <scheme val="minor"/>
    </font>
    <font>
      <b/>
      <sz val="14"/>
      <name val="Calibri"/>
      <family val="2"/>
      <scheme val="minor"/>
    </font>
    <font>
      <b/>
      <sz val="16"/>
      <color theme="1"/>
      <name val="Calibri"/>
      <family val="2"/>
      <scheme val="minor"/>
    </font>
    <font>
      <b/>
      <sz val="18"/>
      <name val="Calibri"/>
      <family val="2"/>
      <scheme val="minor"/>
    </font>
    <font>
      <b/>
      <i/>
      <sz val="14"/>
      <color theme="1"/>
      <name val="Calibri"/>
      <family val="2"/>
      <scheme val="minor"/>
    </font>
    <font>
      <b/>
      <sz val="20"/>
      <color theme="1"/>
      <name val="Calibri"/>
      <family val="2"/>
      <scheme val="minor"/>
    </font>
    <font>
      <sz val="12"/>
      <color theme="1"/>
      <name val="Calibri"/>
      <family val="2"/>
      <scheme val="minor"/>
    </font>
  </fonts>
  <fills count="15">
    <fill>
      <patternFill patternType="none"/>
    </fill>
    <fill>
      <patternFill patternType="gray125"/>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C4D79B"/>
        <bgColor rgb="FF000000"/>
      </patternFill>
    </fill>
  </fills>
  <borders count="57">
    <border>
      <left/>
      <right/>
      <top/>
      <bottom/>
      <diagonal/>
    </border>
    <border>
      <left style="medium">
        <color theme="8" tint="-0.499984740745262"/>
      </left>
      <right style="medium">
        <color theme="8" tint="-0.499984740745262"/>
      </right>
      <top style="medium">
        <color theme="8" tint="-0.499984740745262"/>
      </top>
      <bottom style="medium">
        <color theme="8" tint="-0.49998474074526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right/>
      <top style="medium">
        <color theme="8" tint="-0.499984740745262"/>
      </top>
      <bottom/>
      <diagonal/>
    </border>
    <border>
      <left style="medium">
        <color theme="8" tint="-0.499984740745262"/>
      </left>
      <right style="medium">
        <color theme="8" tint="-0.499984740745262"/>
      </right>
      <top/>
      <bottom/>
      <diagonal/>
    </border>
    <border>
      <left style="medium">
        <color theme="8" tint="-0.499984740745262"/>
      </left>
      <right/>
      <top/>
      <bottom/>
      <diagonal/>
    </border>
    <border>
      <left style="thin">
        <color theme="8" tint="-0.499984740745262"/>
      </left>
      <right style="thin">
        <color theme="8" tint="-0.499984740745262"/>
      </right>
      <top/>
      <bottom style="medium">
        <color theme="8" tint="-0.499984740745262"/>
      </bottom>
      <diagonal/>
    </border>
    <border>
      <left style="medium">
        <color theme="8" tint="-0.499984740745262"/>
      </left>
      <right/>
      <top style="medium">
        <color theme="8" tint="-0.499984740745262"/>
      </top>
      <bottom style="thin">
        <color theme="8" tint="-0.499984740745262"/>
      </bottom>
      <diagonal/>
    </border>
    <border>
      <left/>
      <right/>
      <top style="medium">
        <color theme="8" tint="-0.499984740745262"/>
      </top>
      <bottom style="thin">
        <color theme="8" tint="-0.499984740745262"/>
      </bottom>
      <diagonal/>
    </border>
    <border>
      <left/>
      <right style="medium">
        <color theme="8" tint="-0.499984740745262"/>
      </right>
      <top style="medium">
        <color theme="8" tint="-0.499984740745262"/>
      </top>
      <bottom style="thin">
        <color theme="8" tint="-0.499984740745262"/>
      </bottom>
      <diagonal/>
    </border>
    <border>
      <left style="medium">
        <color theme="8" tint="-0.499984740745262"/>
      </left>
      <right style="thin">
        <color theme="8" tint="-0.499984740745262"/>
      </right>
      <top style="thin">
        <color theme="8" tint="-0.499984740745262"/>
      </top>
      <bottom style="medium">
        <color theme="8" tint="-0.499984740745262"/>
      </bottom>
      <diagonal/>
    </border>
    <border>
      <left style="thin">
        <color theme="8" tint="-0.499984740745262"/>
      </left>
      <right/>
      <top/>
      <bottom style="medium">
        <color theme="8" tint="-0.499984740745262"/>
      </bottom>
      <diagonal/>
    </border>
    <border>
      <left style="thin">
        <color theme="8" tint="-0.499984740745262"/>
      </left>
      <right/>
      <top style="thin">
        <color theme="8" tint="-0.499984740745262"/>
      </top>
      <bottom style="medium">
        <color theme="8" tint="-0.499984740745262"/>
      </bottom>
      <diagonal/>
    </border>
    <border>
      <left/>
      <right style="thin">
        <color theme="8" tint="-0.499984740745262"/>
      </right>
      <top style="thin">
        <color theme="8" tint="-0.499984740745262"/>
      </top>
      <bottom style="medium">
        <color theme="8" tint="-0.499984740745262"/>
      </bottom>
      <diagonal/>
    </border>
    <border>
      <left style="medium">
        <color theme="8" tint="-0.499984740745262"/>
      </left>
      <right/>
      <top style="medium">
        <color theme="8" tint="-0.499984740745262"/>
      </top>
      <bottom/>
      <diagonal/>
    </border>
    <border>
      <left/>
      <right style="medium">
        <color theme="8" tint="-0.499984740745262"/>
      </right>
      <top style="medium">
        <color theme="8" tint="-0.499984740745262"/>
      </top>
      <bottom/>
      <diagonal/>
    </border>
    <border>
      <left style="thin">
        <color theme="8" tint="-0.499984740745262"/>
      </left>
      <right style="medium">
        <color theme="8" tint="-0.499984740745262"/>
      </right>
      <top style="thin">
        <color theme="8" tint="-0.499984740745262"/>
      </top>
      <bottom style="medium">
        <color theme="8" tint="-0.499984740745262"/>
      </bottom>
      <diagonal/>
    </border>
    <border>
      <left style="thin">
        <color theme="8" tint="-0.499984740745262"/>
      </left>
      <right/>
      <top style="thin">
        <color theme="8" tint="-0.499984740745262"/>
      </top>
      <bottom style="thin">
        <color theme="8" tint="-0.499984740745262"/>
      </bottom>
      <diagonal/>
    </border>
    <border>
      <left style="thin">
        <color theme="8" tint="-0.499984740745262"/>
      </left>
      <right/>
      <top style="thin">
        <color theme="8" tint="-0.499984740745262"/>
      </top>
      <bottom/>
      <diagonal/>
    </border>
    <border>
      <left/>
      <right style="thin">
        <color theme="8" tint="-0.499984740745262"/>
      </right>
      <top style="thin">
        <color theme="8" tint="-0.499984740745262"/>
      </top>
      <bottom/>
      <diagonal/>
    </border>
    <border>
      <left/>
      <right style="medium">
        <color theme="8" tint="-0.499984740745262"/>
      </right>
      <top/>
      <bottom style="medium">
        <color theme="8" tint="-0.499984740745262"/>
      </bottom>
      <diagonal/>
    </border>
    <border>
      <left style="thin">
        <color theme="8" tint="-0.499984740745262"/>
      </left>
      <right style="thin">
        <color theme="8" tint="-0.499984740745262"/>
      </right>
      <top style="thin">
        <color theme="8" tint="-0.499984740745262"/>
      </top>
      <bottom/>
      <diagonal/>
    </border>
    <border>
      <left/>
      <right style="thin">
        <color theme="8" tint="-0.499984740745262"/>
      </right>
      <top/>
      <bottom style="medium">
        <color theme="8" tint="-0.499984740745262"/>
      </bottom>
      <diagonal/>
    </border>
    <border>
      <left style="thin">
        <color theme="8" tint="-0.499984740745262"/>
      </left>
      <right style="medium">
        <color theme="8" tint="-0.499984740745262"/>
      </right>
      <top/>
      <bottom style="medium">
        <color theme="8" tint="-0.499984740745262"/>
      </bottom>
      <diagonal/>
    </border>
    <border>
      <left style="medium">
        <color theme="8" tint="-0.499984740745262"/>
      </left>
      <right/>
      <top/>
      <bottom style="medium">
        <color theme="8" tint="-0.499984740745262"/>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right style="medium">
        <color theme="6" tint="-0.499984740745262"/>
      </right>
      <top style="medium">
        <color theme="6" tint="-0.499984740745262"/>
      </top>
      <bottom/>
      <diagonal/>
    </border>
    <border>
      <left/>
      <right style="medium">
        <color theme="6" tint="-0.499984740745262"/>
      </right>
      <top style="medium">
        <color theme="6" tint="-0.499984740745262"/>
      </top>
      <bottom style="medium">
        <color theme="6" tint="-0.499984740745262"/>
      </bottom>
      <diagonal/>
    </border>
    <border>
      <left/>
      <right style="medium">
        <color theme="6" tint="-0.499984740745262"/>
      </right>
      <top/>
      <bottom/>
      <diagonal/>
    </border>
    <border>
      <left style="medium">
        <color theme="6" tint="-0.499984740745262"/>
      </left>
      <right style="medium">
        <color theme="6" tint="-0.499984740745262"/>
      </right>
      <top/>
      <bottom style="medium">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style="medium">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medium">
        <color theme="6" tint="-0.499984740745262"/>
      </right>
      <top style="thin">
        <color theme="6" tint="-0.499984740745262"/>
      </top>
      <bottom style="medium">
        <color theme="6" tint="-0.499984740745262"/>
      </bottom>
      <diagonal/>
    </border>
    <border>
      <left style="thin">
        <color theme="6" tint="-0.499984740745262"/>
      </left>
      <right/>
      <top style="thin">
        <color theme="6" tint="-0.499984740745262"/>
      </top>
      <bottom style="thin">
        <color theme="6" tint="-0.499984740745262"/>
      </bottom>
      <diagonal/>
    </border>
    <border>
      <left/>
      <right/>
      <top style="thin">
        <color theme="6" tint="-0.499984740745262"/>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style="thin">
        <color rgb="FF4F6228"/>
      </left>
      <right style="thin">
        <color rgb="FF4F6228"/>
      </right>
      <top style="thin">
        <color rgb="FF4F6228"/>
      </top>
      <bottom style="medium">
        <color rgb="FF4F6228"/>
      </bottom>
      <diagonal/>
    </border>
    <border>
      <left/>
      <right style="thin">
        <color rgb="FF4F6228"/>
      </right>
      <top style="thin">
        <color rgb="FF4F6228"/>
      </top>
      <bottom style="medium">
        <color rgb="FF4F6228"/>
      </bottom>
      <diagonal/>
    </border>
    <border>
      <left/>
      <right/>
      <top style="thin">
        <color theme="8" tint="-0.499984740745262"/>
      </top>
      <bottom style="thin">
        <color theme="8" tint="-0.499984740745262"/>
      </bottom>
      <diagonal/>
    </border>
    <border>
      <left style="medium">
        <color theme="8" tint="-0.499984740745262"/>
      </left>
      <right style="medium">
        <color theme="8" tint="-0.499984740745262"/>
      </right>
      <top style="medium">
        <color theme="8" tint="-0.499984740745262"/>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medium">
        <color theme="8" tint="-0.499984740745262"/>
      </left>
      <right style="medium">
        <color theme="8" tint="-0.499984740745262"/>
      </right>
      <top/>
      <bottom style="medium">
        <color theme="8" tint="-0.499984740745262"/>
      </bottom>
      <diagonal/>
    </border>
    <border>
      <left/>
      <right/>
      <top style="thin">
        <color theme="8" tint="-0.499984740745262"/>
      </top>
      <bottom/>
      <diagonal/>
    </border>
    <border>
      <left/>
      <right/>
      <top/>
      <bottom style="thin">
        <color theme="8" tint="-0.499984740745262"/>
      </bottom>
      <diagonal/>
    </border>
    <border>
      <left style="thin">
        <color theme="8" tint="-0.499984740745262"/>
      </left>
      <right/>
      <top/>
      <bottom style="thin">
        <color theme="8" tint="-0.499984740745262"/>
      </bottom>
      <diagonal/>
    </border>
    <border>
      <left/>
      <right style="thin">
        <color theme="8" tint="-0.499984740745262"/>
      </right>
      <top/>
      <bottom style="thin">
        <color theme="8" tint="-0.499984740745262"/>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theme="8" tint="-0.499984740745262"/>
      </left>
      <right style="thin">
        <color theme="8" tint="-0.499984740745262"/>
      </right>
      <top/>
      <bottom style="medium">
        <color theme="8" tint="-0.499984740745262"/>
      </bottom>
      <diagonal/>
    </border>
    <border>
      <left style="medium">
        <color theme="6" tint="-0.499984740745262"/>
      </left>
      <right/>
      <top style="medium">
        <color theme="6" tint="-0.499984740745262"/>
      </top>
      <bottom style="thin">
        <color theme="6" tint="-0.499984740745262"/>
      </bottom>
      <diagonal/>
    </border>
    <border>
      <left/>
      <right/>
      <top style="medium">
        <color theme="6" tint="-0.499984740745262"/>
      </top>
      <bottom style="thin">
        <color theme="6" tint="-0.499984740745262"/>
      </bottom>
      <diagonal/>
    </border>
    <border>
      <left/>
      <right style="medium">
        <color theme="6" tint="-0.499984740745262"/>
      </right>
      <top style="medium">
        <color theme="6" tint="-0.499984740745262"/>
      </top>
      <bottom style="thin">
        <color theme="6" tint="-0.499984740745262"/>
      </bottom>
      <diagonal/>
    </border>
  </borders>
  <cellStyleXfs count="2421">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197">
    <xf numFmtId="0" fontId="0" fillId="0" borderId="0" xfId="0"/>
    <xf numFmtId="0" fontId="1" fillId="0" borderId="0" xfId="0" applyFont="1" applyAlignment="1">
      <alignment wrapText="1"/>
    </xf>
    <xf numFmtId="0" fontId="1" fillId="0" borderId="0" xfId="0" applyFont="1" applyAlignment="1">
      <alignment vertical="center" wrapText="1"/>
    </xf>
    <xf numFmtId="0" fontId="0" fillId="0" borderId="0" xfId="0" applyAlignment="1">
      <alignment horizontal="center" vertical="center"/>
    </xf>
    <xf numFmtId="2" fontId="0" fillId="4" borderId="1" xfId="0" applyNumberFormat="1" applyFill="1" applyBorder="1" applyAlignment="1">
      <alignment horizontal="center" vertical="center" wrapText="1"/>
    </xf>
    <xf numFmtId="0" fontId="0" fillId="0" borderId="0" xfId="0" applyProtection="1">
      <protection locked="0"/>
    </xf>
    <xf numFmtId="0" fontId="7" fillId="3" borderId="2" xfId="0" applyFont="1" applyFill="1" applyBorder="1" applyAlignment="1" applyProtection="1">
      <alignment horizontal="center" vertical="center"/>
      <protection locked="0"/>
    </xf>
    <xf numFmtId="0" fontId="7" fillId="4" borderId="2" xfId="0"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6" fillId="0" borderId="0" xfId="0" applyFont="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7" fillId="8" borderId="10" xfId="0" applyFont="1" applyFill="1" applyBorder="1" applyAlignment="1" applyProtection="1">
      <alignment horizontal="left" vertical="center" wrapText="1"/>
      <protection locked="0"/>
    </xf>
    <xf numFmtId="0" fontId="7" fillId="0" borderId="0" xfId="0" applyFont="1" applyAlignment="1" applyProtection="1">
      <alignment vertical="center" wrapText="1"/>
      <protection locked="0"/>
    </xf>
    <xf numFmtId="0" fontId="13" fillId="0" borderId="4"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2" fontId="0" fillId="0" borderId="0" xfId="0" applyNumberFormat="1" applyProtection="1">
      <protection locked="0"/>
    </xf>
    <xf numFmtId="0" fontId="0" fillId="4" borderId="1" xfId="0" applyFill="1" applyBorder="1" applyAlignment="1">
      <alignment horizontal="center" vertical="center" wrapText="1"/>
    </xf>
    <xf numFmtId="0" fontId="7" fillId="8" borderId="16" xfId="0" applyFont="1" applyFill="1" applyBorder="1" applyAlignment="1" applyProtection="1">
      <alignment vertical="center" wrapText="1"/>
      <protection locked="0"/>
    </xf>
    <xf numFmtId="0" fontId="16" fillId="0" borderId="0" xfId="0" applyFont="1" applyAlignment="1">
      <alignment vertical="center"/>
    </xf>
    <xf numFmtId="0" fontId="0" fillId="0" borderId="0" xfId="0" quotePrefix="1" applyProtection="1">
      <protection locked="0"/>
    </xf>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1" fillId="0" borderId="0" xfId="0" applyFont="1" applyAlignment="1" applyProtection="1">
      <alignment vertical="center"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quotePrefix="1" applyAlignment="1">
      <alignment vertical="center" wrapText="1"/>
    </xf>
    <xf numFmtId="2" fontId="0" fillId="0" borderId="0" xfId="0" applyNumberFormat="1" applyAlignment="1">
      <alignment horizontal="center" vertical="center" wrapText="1"/>
    </xf>
    <xf numFmtId="0" fontId="7" fillId="8" borderId="22" xfId="0" applyFont="1" applyFill="1" applyBorder="1" applyAlignment="1" applyProtection="1">
      <alignment vertical="center" wrapText="1"/>
      <protection locked="0"/>
    </xf>
    <xf numFmtId="0" fontId="7" fillId="8" borderId="11" xfId="0" applyFont="1" applyFill="1" applyBorder="1" applyAlignment="1" applyProtection="1">
      <alignment vertical="center" wrapText="1"/>
      <protection locked="0"/>
    </xf>
    <xf numFmtId="0" fontId="7" fillId="8" borderId="6" xfId="0" applyFont="1" applyFill="1" applyBorder="1" applyAlignment="1" applyProtection="1">
      <alignment vertical="center" wrapText="1"/>
      <protection locked="0"/>
    </xf>
    <xf numFmtId="0" fontId="23" fillId="0" borderId="0" xfId="0" applyFont="1" applyProtection="1">
      <protection locked="0"/>
    </xf>
    <xf numFmtId="0" fontId="24" fillId="0" borderId="0" xfId="0" applyFont="1" applyAlignment="1" applyProtection="1">
      <alignment horizontal="center" vertical="center"/>
      <protection locked="0"/>
    </xf>
    <xf numFmtId="0" fontId="0" fillId="0" borderId="27"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19" fillId="9" borderId="33" xfId="0" applyFont="1" applyFill="1" applyBorder="1" applyAlignment="1" applyProtection="1">
      <alignment vertical="center" wrapText="1"/>
      <protection locked="0"/>
    </xf>
    <xf numFmtId="0" fontId="19" fillId="9" borderId="34" xfId="0" applyFont="1" applyFill="1" applyBorder="1" applyAlignment="1" applyProtection="1">
      <alignment vertical="center" wrapText="1"/>
      <protection locked="0"/>
    </xf>
    <xf numFmtId="0" fontId="19" fillId="9" borderId="35" xfId="0" applyFont="1" applyFill="1" applyBorder="1" applyAlignment="1" applyProtection="1">
      <alignment vertical="center" wrapText="1"/>
      <protection locked="0"/>
    </xf>
    <xf numFmtId="0" fontId="23" fillId="0" borderId="26" xfId="0" applyFont="1" applyBorder="1" applyAlignment="1" applyProtection="1">
      <alignment vertical="center"/>
      <protection locked="0"/>
    </xf>
    <xf numFmtId="0" fontId="0" fillId="13" borderId="30" xfId="0" applyFill="1" applyBorder="1" applyAlignment="1" applyProtection="1">
      <alignment horizontal="center" vertical="center" wrapText="1"/>
      <protection locked="0"/>
    </xf>
    <xf numFmtId="0" fontId="0" fillId="13" borderId="26" xfId="0" applyFill="1" applyBorder="1" applyProtection="1">
      <protection locked="0"/>
    </xf>
    <xf numFmtId="0" fontId="7" fillId="13" borderId="2" xfId="0" applyFont="1" applyFill="1" applyBorder="1" applyAlignment="1" applyProtection="1">
      <alignment horizontal="center" vertical="center"/>
      <protection locked="0"/>
    </xf>
    <xf numFmtId="0" fontId="1" fillId="13" borderId="26" xfId="0" applyFont="1" applyFill="1" applyBorder="1" applyAlignment="1" applyProtection="1">
      <alignment vertical="center" wrapText="1"/>
      <protection locked="0"/>
    </xf>
    <xf numFmtId="0" fontId="0" fillId="13" borderId="26" xfId="0" applyFill="1" applyBorder="1" applyAlignment="1" applyProtection="1">
      <alignment vertical="center" wrapText="1"/>
      <protection locked="0"/>
    </xf>
    <xf numFmtId="0" fontId="0" fillId="0" borderId="26" xfId="0" applyBorder="1" applyAlignment="1">
      <alignment vertical="center" wrapText="1"/>
    </xf>
    <xf numFmtId="0" fontId="1" fillId="7" borderId="26" xfId="0" applyFont="1" applyFill="1" applyBorder="1" applyAlignment="1">
      <alignment horizontal="center" vertical="center" wrapText="1"/>
    </xf>
    <xf numFmtId="0" fontId="0" fillId="7" borderId="26" xfId="0" applyFill="1" applyBorder="1" applyAlignment="1">
      <alignment vertical="center" wrapText="1"/>
    </xf>
    <xf numFmtId="0" fontId="0" fillId="7" borderId="26" xfId="0" applyFill="1" applyBorder="1" applyAlignment="1">
      <alignment wrapText="1"/>
    </xf>
    <xf numFmtId="0" fontId="9" fillId="13" borderId="26" xfId="0" applyFont="1" applyFill="1" applyBorder="1" applyAlignment="1">
      <alignment vertical="center" wrapText="1"/>
    </xf>
    <xf numFmtId="0" fontId="5" fillId="13" borderId="26" xfId="0" applyFont="1" applyFill="1" applyBorder="1" applyAlignment="1">
      <alignment vertical="center" wrapText="1"/>
    </xf>
    <xf numFmtId="0" fontId="1" fillId="12" borderId="26" xfId="0" applyFont="1" applyFill="1" applyBorder="1" applyAlignment="1" applyProtection="1">
      <alignment vertical="center" wrapText="1"/>
      <protection locked="0"/>
    </xf>
    <xf numFmtId="0" fontId="9" fillId="12" borderId="26" xfId="0" applyFont="1" applyFill="1" applyBorder="1" applyAlignment="1">
      <alignment vertical="center" wrapText="1"/>
    </xf>
    <xf numFmtId="0" fontId="0" fillId="0" borderId="26" xfId="0" quotePrefix="1" applyBorder="1" applyAlignment="1">
      <alignment vertical="center" wrapText="1"/>
    </xf>
    <xf numFmtId="0" fontId="0" fillId="10" borderId="26" xfId="0" applyFill="1" applyBorder="1" applyProtection="1">
      <protection locked="0"/>
    </xf>
    <xf numFmtId="0" fontId="19" fillId="9" borderId="33" xfId="0" applyFont="1" applyFill="1" applyBorder="1" applyAlignment="1" applyProtection="1">
      <alignment horizontal="left" vertical="center" wrapText="1"/>
      <protection locked="0"/>
    </xf>
    <xf numFmtId="0" fontId="0" fillId="0" borderId="0" xfId="0" applyAlignment="1" applyProtection="1">
      <alignment wrapText="1"/>
      <protection locked="0"/>
    </xf>
    <xf numFmtId="0" fontId="0" fillId="13" borderId="25" xfId="0" applyFill="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0" fontId="25" fillId="14" borderId="39" xfId="0" applyFont="1" applyFill="1" applyBorder="1" applyAlignment="1" applyProtection="1">
      <alignment vertical="center" wrapText="1"/>
      <protection locked="0"/>
    </xf>
    <xf numFmtId="0" fontId="25" fillId="14" borderId="40" xfId="0" applyFont="1" applyFill="1" applyBorder="1" applyAlignment="1" applyProtection="1">
      <alignment vertical="center" wrapText="1"/>
      <protection locked="0"/>
    </xf>
    <xf numFmtId="0" fontId="27" fillId="0" borderId="0" xfId="0" applyFont="1" applyAlignment="1" applyProtection="1">
      <alignment horizontal="left" vertical="center"/>
      <protection locked="0"/>
    </xf>
    <xf numFmtId="0" fontId="13" fillId="0" borderId="2" xfId="0" applyFont="1" applyBorder="1" applyAlignment="1" applyProtection="1">
      <alignment vertical="center"/>
      <protection locked="0"/>
    </xf>
    <xf numFmtId="0" fontId="7" fillId="0" borderId="1" xfId="0" applyFont="1" applyBorder="1" applyAlignment="1" applyProtection="1">
      <alignment horizontal="left" vertical="center" wrapText="1"/>
      <protection locked="0"/>
    </xf>
    <xf numFmtId="0" fontId="15" fillId="0" borderId="0" xfId="0" applyFont="1" applyAlignment="1" applyProtection="1">
      <alignment horizontal="center" vertical="center" wrapText="1"/>
      <protection locked="0"/>
    </xf>
    <xf numFmtId="0" fontId="7" fillId="8" borderId="23" xfId="0" applyFont="1" applyFill="1" applyBorder="1" applyAlignment="1" applyProtection="1">
      <alignment vertical="center" wrapText="1"/>
      <protection locked="0"/>
    </xf>
    <xf numFmtId="0" fontId="14" fillId="13" borderId="1" xfId="0" applyFont="1" applyFill="1" applyBorder="1" applyAlignment="1" applyProtection="1">
      <alignment horizontal="center" vertical="center" wrapText="1"/>
      <protection locked="0"/>
    </xf>
    <xf numFmtId="0" fontId="19" fillId="0" borderId="25" xfId="0" applyFont="1" applyBorder="1" applyAlignment="1" applyProtection="1">
      <alignment horizontal="left" vertical="center" wrapText="1"/>
      <protection locked="0"/>
    </xf>
    <xf numFmtId="0" fontId="1" fillId="13" borderId="2" xfId="0" applyFont="1" applyFill="1" applyBorder="1" applyAlignment="1" applyProtection="1">
      <alignment vertical="center" wrapText="1"/>
      <protection locked="0"/>
    </xf>
    <xf numFmtId="0" fontId="0" fillId="13" borderId="2" xfId="0" applyFill="1" applyBorder="1" applyAlignment="1" applyProtection="1">
      <alignment vertical="center" wrapText="1"/>
      <protection locked="0"/>
    </xf>
    <xf numFmtId="0" fontId="0" fillId="0" borderId="2" xfId="0" applyBorder="1" applyAlignment="1">
      <alignment vertical="center" wrapText="1"/>
    </xf>
    <xf numFmtId="0" fontId="1" fillId="7" borderId="2" xfId="0" applyFont="1" applyFill="1" applyBorder="1" applyAlignment="1">
      <alignment horizontal="center" vertical="center" wrapText="1"/>
    </xf>
    <xf numFmtId="0" fontId="1" fillId="4" borderId="2" xfId="0" applyFont="1"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0" fontId="0" fillId="0" borderId="2" xfId="0" applyBorder="1" applyAlignment="1">
      <alignment horizontal="left" vertical="center" wrapText="1"/>
    </xf>
    <xf numFmtId="0" fontId="0" fillId="0" borderId="2" xfId="0" quotePrefix="1" applyBorder="1" applyAlignment="1">
      <alignment horizontal="left" vertical="center" wrapText="1"/>
    </xf>
    <xf numFmtId="0" fontId="9" fillId="4" borderId="2" xfId="0" applyFont="1" applyFill="1" applyBorder="1" applyAlignment="1">
      <alignment vertical="center" wrapText="1"/>
    </xf>
    <xf numFmtId="0" fontId="5" fillId="4" borderId="2" xfId="0" applyFont="1" applyFill="1" applyBorder="1" applyAlignment="1">
      <alignment vertical="center" wrapText="1"/>
    </xf>
    <xf numFmtId="0" fontId="0" fillId="0" borderId="2" xfId="0" quotePrefix="1" applyBorder="1" applyAlignment="1">
      <alignment vertical="center" wrapText="1"/>
    </xf>
    <xf numFmtId="0" fontId="5" fillId="13" borderId="2" xfId="0" applyFont="1" applyFill="1" applyBorder="1" applyAlignment="1">
      <alignment vertical="center" wrapText="1"/>
    </xf>
    <xf numFmtId="0" fontId="0" fillId="7" borderId="2" xfId="0" applyFill="1" applyBorder="1" applyAlignment="1">
      <alignment wrapText="1"/>
    </xf>
    <xf numFmtId="0" fontId="1" fillId="3" borderId="2" xfId="0" applyFont="1" applyFill="1" applyBorder="1" applyAlignment="1" applyProtection="1">
      <alignment vertical="center" wrapText="1"/>
      <protection locked="0"/>
    </xf>
    <xf numFmtId="0" fontId="5" fillId="3" borderId="2" xfId="0" applyFont="1" applyFill="1" applyBorder="1" applyAlignment="1">
      <alignment vertical="center" wrapText="1"/>
    </xf>
    <xf numFmtId="0" fontId="0" fillId="7" borderId="2" xfId="0" quotePrefix="1" applyFill="1" applyBorder="1" applyAlignment="1">
      <alignment vertical="center" wrapText="1"/>
    </xf>
    <xf numFmtId="0" fontId="1" fillId="4" borderId="2" xfId="0" applyFont="1" applyFill="1" applyBorder="1" applyAlignment="1">
      <alignment horizontal="left" vertical="center" wrapText="1"/>
    </xf>
    <xf numFmtId="0" fontId="9" fillId="4" borderId="2" xfId="0" applyFont="1" applyFill="1" applyBorder="1" applyAlignment="1">
      <alignment horizontal="left" vertical="center" wrapText="1"/>
    </xf>
    <xf numFmtId="0" fontId="14" fillId="0" borderId="2" xfId="0" quotePrefix="1" applyFont="1" applyBorder="1" applyAlignment="1">
      <alignment vertical="center" wrapText="1"/>
    </xf>
    <xf numFmtId="0" fontId="1" fillId="0" borderId="2" xfId="0" applyFont="1" applyBorder="1" applyAlignment="1">
      <alignment horizontal="left" vertical="center" wrapText="1"/>
    </xf>
    <xf numFmtId="0" fontId="14" fillId="0" borderId="2" xfId="0" applyFont="1" applyBorder="1" applyAlignment="1">
      <alignment horizontal="left" vertical="center" wrapText="1"/>
    </xf>
    <xf numFmtId="0" fontId="0" fillId="13" borderId="1" xfId="0" applyFill="1" applyBorder="1" applyAlignment="1" applyProtection="1">
      <alignment horizontal="left" vertical="center" wrapText="1"/>
      <protection locked="0"/>
    </xf>
    <xf numFmtId="0" fontId="0" fillId="13" borderId="1" xfId="0" applyFill="1" applyBorder="1" applyAlignment="1" applyProtection="1">
      <alignment horizontal="center" vertical="center" wrapText="1"/>
      <protection locked="0"/>
    </xf>
    <xf numFmtId="0" fontId="0" fillId="7" borderId="2" xfId="0" applyFill="1" applyBorder="1" applyAlignment="1">
      <alignment horizontal="left" wrapText="1"/>
    </xf>
    <xf numFmtId="0" fontId="0" fillId="0" borderId="21" xfId="0" applyBorder="1" applyAlignment="1">
      <alignment vertical="center" wrapText="1"/>
    </xf>
    <xf numFmtId="0" fontId="7" fillId="8" borderId="44" xfId="0" applyFont="1" applyFill="1" applyBorder="1" applyAlignment="1" applyProtection="1">
      <alignment vertical="center" wrapText="1"/>
      <protection locked="0"/>
    </xf>
    <xf numFmtId="0" fontId="1" fillId="0" borderId="41" xfId="0" applyFont="1" applyBorder="1" applyAlignment="1" applyProtection="1">
      <alignment vertical="center" wrapText="1"/>
      <protection locked="0"/>
    </xf>
    <xf numFmtId="0" fontId="5" fillId="0" borderId="41" xfId="0" applyFont="1" applyBorder="1" applyAlignment="1">
      <alignment vertical="center" wrapText="1"/>
    </xf>
    <xf numFmtId="0" fontId="0" fillId="0" borderId="41" xfId="0" applyBorder="1" applyAlignment="1">
      <alignment vertical="center" wrapText="1"/>
    </xf>
    <xf numFmtId="0" fontId="0" fillId="0" borderId="41" xfId="0" applyBorder="1" applyAlignment="1">
      <alignment horizontal="left" vertical="center" wrapText="1"/>
    </xf>
    <xf numFmtId="0" fontId="0" fillId="0" borderId="41" xfId="0" quotePrefix="1" applyBorder="1" applyAlignment="1">
      <alignment vertical="center" wrapText="1"/>
    </xf>
    <xf numFmtId="0" fontId="1" fillId="0" borderId="45" xfId="0" applyFont="1" applyBorder="1" applyAlignment="1">
      <alignment horizontal="left" vertical="center" wrapText="1"/>
    </xf>
    <xf numFmtId="0" fontId="5" fillId="0" borderId="45" xfId="0" applyFont="1" applyBorder="1" applyAlignment="1">
      <alignment horizontal="left" vertical="center" wrapText="1"/>
    </xf>
    <xf numFmtId="0" fontId="0" fillId="0" borderId="45" xfId="0" applyBorder="1" applyAlignment="1">
      <alignment vertical="center"/>
    </xf>
    <xf numFmtId="0" fontId="0" fillId="0" borderId="45" xfId="0" quotePrefix="1" applyBorder="1" applyAlignment="1">
      <alignment vertical="center" wrapText="1"/>
    </xf>
    <xf numFmtId="0" fontId="29" fillId="0" borderId="0" xfId="0" applyFont="1" applyAlignment="1">
      <alignment vertical="center"/>
    </xf>
    <xf numFmtId="0" fontId="30" fillId="0" borderId="0" xfId="0" applyFont="1" applyAlignment="1">
      <alignment vertical="center"/>
    </xf>
    <xf numFmtId="0" fontId="31" fillId="11" borderId="26" xfId="0" applyFont="1" applyFill="1" applyBorder="1" applyAlignment="1">
      <alignment horizontal="center" vertical="center" wrapText="1"/>
    </xf>
    <xf numFmtId="0" fontId="17" fillId="11" borderId="26" xfId="0" applyFont="1" applyFill="1" applyBorder="1" applyAlignment="1">
      <alignment horizontal="center" vertical="center" wrapText="1"/>
    </xf>
    <xf numFmtId="0" fontId="31" fillId="5" borderId="2" xfId="0" applyFont="1" applyFill="1" applyBorder="1" applyAlignment="1">
      <alignment horizontal="center" vertical="center" wrapText="1"/>
    </xf>
    <xf numFmtId="0" fontId="17" fillId="5" borderId="2" xfId="0" applyFont="1" applyFill="1" applyBorder="1" applyAlignment="1">
      <alignment horizontal="center" vertical="center" wrapText="1"/>
    </xf>
    <xf numFmtId="0" fontId="0" fillId="0" borderId="0" xfId="0" quotePrefix="1" applyAlignment="1" applyProtection="1">
      <alignment horizontal="center" wrapText="1"/>
      <protection locked="0"/>
    </xf>
    <xf numFmtId="0" fontId="19" fillId="0" borderId="25" xfId="0" applyFont="1" applyBorder="1" applyAlignment="1">
      <alignment horizontal="center" vertical="center" wrapText="1"/>
    </xf>
    <xf numFmtId="0" fontId="19" fillId="0" borderId="30" xfId="0" applyFont="1" applyBorder="1" applyAlignment="1">
      <alignment horizontal="center" vertical="center" wrapText="1"/>
    </xf>
    <xf numFmtId="0" fontId="19" fillId="0" borderId="28" xfId="0" applyFont="1" applyBorder="1" applyAlignment="1">
      <alignment horizontal="center" vertical="center" wrapText="1"/>
    </xf>
    <xf numFmtId="0" fontId="19" fillId="13" borderId="25" xfId="0" applyFont="1" applyFill="1" applyBorder="1" applyAlignment="1" applyProtection="1">
      <alignment horizontal="center" vertical="center" wrapText="1"/>
      <protection locked="0"/>
    </xf>
    <xf numFmtId="0" fontId="0" fillId="0" borderId="17" xfId="0" applyBorder="1" applyAlignment="1">
      <alignment horizontal="left" vertical="center" wrapText="1"/>
    </xf>
    <xf numFmtId="0" fontId="17" fillId="5" borderId="21" xfId="0" applyFont="1" applyFill="1" applyBorder="1" applyAlignment="1">
      <alignment horizontal="center" vertical="center" wrapText="1"/>
    </xf>
    <xf numFmtId="0" fontId="1" fillId="7" borderId="43" xfId="0" applyFont="1" applyFill="1" applyBorder="1" applyAlignment="1">
      <alignment horizontal="center" vertical="center" wrapText="1"/>
    </xf>
    <xf numFmtId="2" fontId="0" fillId="0" borderId="0" xfId="0" quotePrefix="1" applyNumberFormat="1" applyAlignment="1">
      <alignment horizontal="center" vertical="center"/>
    </xf>
    <xf numFmtId="0" fontId="17" fillId="0" borderId="49" xfId="0" applyFont="1" applyBorder="1" applyAlignment="1" applyProtection="1">
      <alignment wrapText="1"/>
      <protection locked="0"/>
    </xf>
    <xf numFmtId="0" fontId="17" fillId="0" borderId="49" xfId="0" applyFont="1" applyBorder="1" applyAlignment="1" applyProtection="1">
      <alignment vertical="center" wrapText="1"/>
      <protection locked="0"/>
    </xf>
    <xf numFmtId="0" fontId="17" fillId="0" borderId="0" xfId="0" applyFont="1" applyAlignment="1" applyProtection="1">
      <alignment wrapText="1"/>
      <protection locked="0"/>
    </xf>
    <xf numFmtId="0" fontId="16" fillId="13" borderId="52" xfId="0" applyFont="1" applyFill="1" applyBorder="1" applyProtection="1">
      <protection locked="0"/>
    </xf>
    <xf numFmtId="0" fontId="16" fillId="0" borderId="52" xfId="0" applyFont="1" applyBorder="1" applyAlignment="1" applyProtection="1">
      <alignment vertical="center"/>
      <protection locked="0"/>
    </xf>
    <xf numFmtId="0" fontId="18" fillId="0" borderId="0" xfId="0" applyFont="1" applyProtection="1">
      <protection locked="0"/>
    </xf>
    <xf numFmtId="0" fontId="16" fillId="0" borderId="0" xfId="0" applyFont="1" applyProtection="1">
      <protection locked="0"/>
    </xf>
    <xf numFmtId="0" fontId="16" fillId="13" borderId="50" xfId="0" applyFont="1" applyFill="1" applyBorder="1" applyProtection="1">
      <protection locked="0"/>
    </xf>
    <xf numFmtId="0" fontId="16" fillId="0" borderId="50" xfId="0" applyFont="1" applyBorder="1" applyAlignment="1" applyProtection="1">
      <alignment vertical="center"/>
      <protection locked="0"/>
    </xf>
    <xf numFmtId="0" fontId="16" fillId="13" borderId="51" xfId="0" applyFont="1" applyFill="1" applyBorder="1" applyProtection="1">
      <protection locked="0"/>
    </xf>
    <xf numFmtId="0" fontId="16" fillId="0" borderId="51" xfId="0" applyFont="1" applyBorder="1" applyAlignment="1" applyProtection="1">
      <alignment vertical="center"/>
      <protection locked="0"/>
    </xf>
    <xf numFmtId="0" fontId="16" fillId="9" borderId="49" xfId="0" applyFont="1" applyFill="1" applyBorder="1" applyProtection="1">
      <protection locked="0"/>
    </xf>
    <xf numFmtId="0" fontId="16" fillId="0" borderId="49" xfId="0" applyFont="1" applyBorder="1" applyAlignment="1" applyProtection="1">
      <alignment vertical="center"/>
      <protection locked="0"/>
    </xf>
    <xf numFmtId="0" fontId="16" fillId="0" borderId="49" xfId="0" quotePrefix="1" applyFont="1" applyBorder="1" applyAlignment="1" applyProtection="1">
      <alignment wrapText="1"/>
      <protection locked="0"/>
    </xf>
    <xf numFmtId="0" fontId="16" fillId="6" borderId="49" xfId="0" applyFont="1" applyFill="1" applyBorder="1" applyProtection="1">
      <protection locked="0"/>
    </xf>
    <xf numFmtId="0" fontId="16" fillId="0" borderId="49" xfId="0" applyFont="1" applyBorder="1" applyAlignment="1" applyProtection="1">
      <alignment horizontal="left" vertical="center"/>
      <protection locked="0"/>
    </xf>
    <xf numFmtId="0" fontId="16" fillId="0" borderId="49" xfId="0" quotePrefix="1" applyFont="1" applyBorder="1" applyAlignment="1" applyProtection="1">
      <alignment horizontal="left" vertical="center" wrapText="1"/>
      <protection locked="0"/>
    </xf>
    <xf numFmtId="0" fontId="16" fillId="0" borderId="0" xfId="0" applyFont="1" applyAlignment="1" applyProtection="1">
      <alignment vertical="center"/>
      <protection locked="0"/>
    </xf>
    <xf numFmtId="0" fontId="16" fillId="0" borderId="0" xfId="0" applyFont="1" applyAlignment="1" applyProtection="1">
      <alignment wrapText="1"/>
      <protection locked="0"/>
    </xf>
    <xf numFmtId="0" fontId="35" fillId="0" borderId="0" xfId="0" applyFont="1"/>
    <xf numFmtId="0" fontId="0" fillId="3" borderId="1" xfId="0" applyFill="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13" fillId="4" borderId="1" xfId="0" applyFont="1" applyFill="1" applyBorder="1" applyAlignment="1">
      <alignment horizontal="center" vertical="center" wrapText="1"/>
    </xf>
    <xf numFmtId="0" fontId="14" fillId="4" borderId="2" xfId="0" applyFont="1" applyFill="1" applyBorder="1" applyAlignment="1" applyProtection="1">
      <alignment vertical="center" wrapText="1"/>
      <protection locked="0"/>
    </xf>
    <xf numFmtId="0" fontId="7" fillId="8" borderId="53" xfId="0" applyFont="1" applyFill="1" applyBorder="1" applyAlignment="1" applyProtection="1">
      <alignment horizontal="left" vertical="center" wrapText="1"/>
      <protection locked="0"/>
    </xf>
    <xf numFmtId="0" fontId="8" fillId="8" borderId="6" xfId="0" applyFont="1" applyFill="1" applyBorder="1" applyAlignment="1" applyProtection="1">
      <alignment vertical="center" wrapText="1"/>
      <protection locked="0"/>
    </xf>
    <xf numFmtId="0" fontId="0" fillId="7" borderId="2" xfId="0" applyFill="1" applyBorder="1" applyAlignment="1">
      <alignment horizontal="center" wrapText="1"/>
    </xf>
    <xf numFmtId="0" fontId="0" fillId="0" borderId="21" xfId="0" applyBorder="1" applyAlignment="1">
      <alignment horizontal="left" vertical="center" wrapText="1"/>
    </xf>
    <xf numFmtId="0" fontId="1" fillId="3" borderId="21" xfId="0" applyFont="1" applyFill="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2" fontId="14" fillId="10" borderId="25" xfId="0" applyNumberFormat="1" applyFont="1" applyFill="1" applyBorder="1" applyAlignment="1">
      <alignment horizontal="center" vertical="center" wrapText="1"/>
    </xf>
    <xf numFmtId="0" fontId="15" fillId="8" borderId="42" xfId="0" applyFont="1" applyFill="1" applyBorder="1" applyAlignment="1" applyProtection="1">
      <alignment horizontal="center" vertical="center" wrapText="1"/>
      <protection locked="0"/>
    </xf>
    <xf numFmtId="18" fontId="0" fillId="13" borderId="30" xfId="0" applyNumberFormat="1" applyFill="1" applyBorder="1" applyAlignment="1" applyProtection="1">
      <alignment horizontal="center" vertical="center" wrapText="1"/>
      <protection locked="0"/>
    </xf>
    <xf numFmtId="2" fontId="0" fillId="0" borderId="0" xfId="0" applyNumberFormat="1" applyAlignment="1" applyProtection="1">
      <alignment wrapText="1"/>
      <protection locked="0"/>
    </xf>
    <xf numFmtId="0" fontId="36" fillId="0" borderId="0" xfId="0" applyFont="1" applyAlignment="1">
      <alignment wrapText="1"/>
    </xf>
    <xf numFmtId="164" fontId="0" fillId="13" borderId="30" xfId="0" applyNumberFormat="1" applyFill="1" applyBorder="1" applyAlignment="1" applyProtection="1">
      <alignment horizontal="center" vertical="center" wrapText="1"/>
      <protection locked="0"/>
    </xf>
    <xf numFmtId="0" fontId="16" fillId="0" borderId="52" xfId="0" quotePrefix="1" applyFont="1" applyBorder="1" applyAlignment="1" applyProtection="1">
      <alignment horizontal="left" vertical="center" wrapText="1"/>
      <protection locked="0"/>
    </xf>
    <xf numFmtId="0" fontId="16" fillId="0" borderId="50" xfId="0" quotePrefix="1" applyFont="1" applyBorder="1" applyAlignment="1" applyProtection="1">
      <alignment horizontal="left" vertical="center" wrapText="1"/>
      <protection locked="0"/>
    </xf>
    <xf numFmtId="0" fontId="16" fillId="0" borderId="51" xfId="0" quotePrefix="1" applyFont="1" applyBorder="1" applyAlignment="1" applyProtection="1">
      <alignment horizontal="left" vertical="center" wrapText="1"/>
      <protection locked="0"/>
    </xf>
    <xf numFmtId="0" fontId="31" fillId="11" borderId="26" xfId="0" applyFont="1" applyFill="1" applyBorder="1" applyAlignment="1">
      <alignment horizontal="center" vertical="center" wrapText="1"/>
    </xf>
    <xf numFmtId="0" fontId="33" fillId="11" borderId="36" xfId="0" applyFont="1" applyFill="1" applyBorder="1" applyAlignment="1">
      <alignment horizontal="center" vertical="center" wrapText="1"/>
    </xf>
    <xf numFmtId="0" fontId="33" fillId="11" borderId="37" xfId="0" applyFont="1" applyFill="1" applyBorder="1" applyAlignment="1">
      <alignment horizontal="center" vertical="center" wrapText="1"/>
    </xf>
    <xf numFmtId="0" fontId="33" fillId="11" borderId="38" xfId="0" applyFont="1" applyFill="1" applyBorder="1" applyAlignment="1">
      <alignment horizontal="center" vertical="center" wrapText="1"/>
    </xf>
    <xf numFmtId="0" fontId="31" fillId="5" borderId="2" xfId="0" applyFont="1" applyFill="1" applyBorder="1" applyAlignment="1">
      <alignment horizontal="center" vertical="center" wrapText="1"/>
    </xf>
    <xf numFmtId="0" fontId="28" fillId="5" borderId="18" xfId="0" applyFont="1" applyFill="1" applyBorder="1" applyAlignment="1">
      <alignment horizontal="center" vertical="center" wrapText="1"/>
    </xf>
    <xf numFmtId="0" fontId="28" fillId="5" borderId="45" xfId="0" applyFont="1" applyFill="1" applyBorder="1" applyAlignment="1">
      <alignment horizontal="center" vertical="center" wrapText="1"/>
    </xf>
    <xf numFmtId="0" fontId="28" fillId="5" borderId="19" xfId="0" applyFont="1" applyFill="1" applyBorder="1" applyAlignment="1">
      <alignment horizontal="center" vertical="center" wrapText="1"/>
    </xf>
    <xf numFmtId="0" fontId="0" fillId="0" borderId="2" xfId="0" applyBorder="1" applyAlignment="1">
      <alignment horizontal="left" vertical="center" wrapText="1"/>
    </xf>
    <xf numFmtId="0" fontId="0" fillId="0" borderId="21" xfId="0" applyBorder="1" applyAlignment="1">
      <alignment horizontal="left" vertical="center" wrapText="1"/>
    </xf>
    <xf numFmtId="0" fontId="0" fillId="0" borderId="43" xfId="0" applyBorder="1" applyAlignment="1">
      <alignment horizontal="left" vertical="center" wrapText="1"/>
    </xf>
    <xf numFmtId="0" fontId="32" fillId="5" borderId="47" xfId="0" applyFont="1" applyFill="1" applyBorder="1" applyAlignment="1">
      <alignment horizontal="center" vertical="center" wrapText="1"/>
    </xf>
    <xf numFmtId="0" fontId="28" fillId="5" borderId="46" xfId="0" applyFont="1" applyFill="1" applyBorder="1" applyAlignment="1">
      <alignment horizontal="center" vertical="center" wrapText="1"/>
    </xf>
    <xf numFmtId="0" fontId="28" fillId="5" borderId="48" xfId="0" applyFont="1" applyFill="1" applyBorder="1" applyAlignment="1">
      <alignment horizontal="center" vertical="center" wrapText="1"/>
    </xf>
    <xf numFmtId="0" fontId="20" fillId="9" borderId="54" xfId="0" applyFont="1" applyFill="1" applyBorder="1" applyAlignment="1" applyProtection="1">
      <alignment horizontal="center" vertical="center" wrapText="1"/>
      <protection locked="0"/>
    </xf>
    <xf numFmtId="0" fontId="20" fillId="9" borderId="55" xfId="0" applyFont="1" applyFill="1" applyBorder="1" applyAlignment="1" applyProtection="1">
      <alignment horizontal="center" vertical="center" wrapText="1"/>
      <protection locked="0"/>
    </xf>
    <xf numFmtId="0" fontId="20" fillId="9" borderId="56" xfId="0" applyFont="1" applyFill="1" applyBorder="1" applyAlignment="1" applyProtection="1">
      <alignment horizontal="center" vertical="center" wrapText="1"/>
      <protection locked="0"/>
    </xf>
    <xf numFmtId="0" fontId="20" fillId="9" borderId="31" xfId="0" applyFont="1" applyFill="1" applyBorder="1" applyAlignment="1" applyProtection="1">
      <alignment horizontal="center" vertical="center" wrapText="1"/>
      <protection locked="0"/>
    </xf>
    <xf numFmtId="0" fontId="20" fillId="9" borderId="32" xfId="0" applyFont="1" applyFill="1" applyBorder="1" applyAlignment="1" applyProtection="1">
      <alignment horizontal="center" vertical="center" wrapText="1"/>
      <protection locked="0"/>
    </xf>
    <xf numFmtId="0" fontId="20" fillId="9" borderId="27" xfId="0" applyFont="1" applyFill="1" applyBorder="1" applyAlignment="1" applyProtection="1">
      <alignment horizontal="center" vertical="center" wrapText="1"/>
      <protection locked="0"/>
    </xf>
    <xf numFmtId="0" fontId="19" fillId="9" borderId="34" xfId="0" applyFont="1" applyFill="1" applyBorder="1" applyAlignment="1" applyProtection="1">
      <alignment horizontal="center" vertical="center" wrapText="1"/>
      <protection locked="0"/>
    </xf>
    <xf numFmtId="0" fontId="22" fillId="11" borderId="0" xfId="0" applyFont="1" applyFill="1" applyAlignment="1" applyProtection="1">
      <alignment horizontal="center" vertical="center"/>
      <protection locked="0"/>
    </xf>
    <xf numFmtId="0" fontId="15" fillId="8" borderId="7" xfId="0" applyFont="1" applyFill="1" applyBorder="1" applyAlignment="1" applyProtection="1">
      <alignment horizontal="center" vertical="center" wrapText="1"/>
      <protection locked="0"/>
    </xf>
    <xf numFmtId="0" fontId="15" fillId="8" borderId="8" xfId="0" applyFont="1" applyFill="1" applyBorder="1" applyAlignment="1" applyProtection="1">
      <alignment horizontal="center" vertical="center" wrapText="1"/>
      <protection locked="0"/>
    </xf>
    <xf numFmtId="0" fontId="15" fillId="8" borderId="9" xfId="0" applyFont="1" applyFill="1" applyBorder="1" applyAlignment="1" applyProtection="1">
      <alignment horizontal="center" vertical="center" wrapText="1"/>
      <protection locked="0"/>
    </xf>
    <xf numFmtId="0" fontId="15" fillId="8" borderId="14" xfId="0" applyFont="1" applyFill="1" applyBorder="1" applyAlignment="1" applyProtection="1">
      <alignment horizontal="center" vertical="center" wrapText="1"/>
      <protection locked="0"/>
    </xf>
    <xf numFmtId="0" fontId="15" fillId="8" borderId="15" xfId="0" applyFont="1" applyFill="1" applyBorder="1" applyAlignment="1" applyProtection="1">
      <alignment horizontal="center" vertical="center" wrapText="1"/>
      <protection locked="0"/>
    </xf>
    <xf numFmtId="0" fontId="15" fillId="8" borderId="24" xfId="0" applyFont="1" applyFill="1" applyBorder="1" applyAlignment="1" applyProtection="1">
      <alignment horizontal="center" vertical="center" wrapText="1"/>
      <protection locked="0"/>
    </xf>
    <xf numFmtId="0" fontId="15" fillId="8" borderId="20" xfId="0" applyFont="1" applyFill="1" applyBorder="1" applyAlignment="1" applyProtection="1">
      <alignment horizontal="center" vertical="center" wrapText="1"/>
      <protection locked="0"/>
    </xf>
    <xf numFmtId="0" fontId="7" fillId="8" borderId="11" xfId="0" applyFont="1" applyFill="1" applyBorder="1" applyAlignment="1" applyProtection="1">
      <alignment horizontal="left" vertical="center" wrapText="1"/>
      <protection locked="0"/>
    </xf>
    <xf numFmtId="0" fontId="7" fillId="8" borderId="22" xfId="0" applyFont="1" applyFill="1" applyBorder="1" applyAlignment="1" applyProtection="1">
      <alignment horizontal="left" vertical="center" wrapText="1"/>
      <protection locked="0"/>
    </xf>
    <xf numFmtId="0" fontId="15" fillId="0" borderId="0" xfId="0" applyFont="1" applyAlignment="1" applyProtection="1">
      <alignment horizontal="center" vertical="center" wrapText="1"/>
      <protection locked="0"/>
    </xf>
    <xf numFmtId="0" fontId="7" fillId="8" borderId="12" xfId="0" applyFont="1" applyFill="1" applyBorder="1" applyAlignment="1" applyProtection="1">
      <alignment horizontal="left" vertical="center" wrapText="1"/>
      <protection locked="0"/>
    </xf>
    <xf numFmtId="0" fontId="7" fillId="8" borderId="13" xfId="0" applyFont="1" applyFill="1" applyBorder="1" applyAlignment="1" applyProtection="1">
      <alignment horizontal="left" vertical="center" wrapText="1"/>
      <protection locked="0"/>
    </xf>
    <xf numFmtId="0" fontId="6" fillId="5" borderId="0" xfId="0" applyFont="1" applyFill="1" applyAlignment="1" applyProtection="1">
      <alignment horizontal="center" vertical="center"/>
      <protection locked="0"/>
    </xf>
  </cellXfs>
  <cellStyles count="242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6" builtinId="9" hidden="1"/>
    <cellStyle name="Followed Hyperlink" xfId="1078" builtinId="9" hidden="1"/>
    <cellStyle name="Followed Hyperlink" xfId="1080" builtinId="9" hidden="1"/>
    <cellStyle name="Followed Hyperlink" xfId="1082" builtinId="9" hidden="1"/>
    <cellStyle name="Followed Hyperlink" xfId="1084" builtinId="9" hidden="1"/>
    <cellStyle name="Followed Hyperlink" xfId="1086" builtinId="9" hidden="1"/>
    <cellStyle name="Followed Hyperlink" xfId="1088" builtinId="9" hidden="1"/>
    <cellStyle name="Followed Hyperlink" xfId="1090" builtinId="9" hidden="1"/>
    <cellStyle name="Followed Hyperlink" xfId="1092" builtinId="9" hidden="1"/>
    <cellStyle name="Followed Hyperlink" xfId="1094" builtinId="9" hidden="1"/>
    <cellStyle name="Followed Hyperlink" xfId="1096" builtinId="9" hidden="1"/>
    <cellStyle name="Followed Hyperlink" xfId="1098" builtinId="9" hidden="1"/>
    <cellStyle name="Followed Hyperlink" xfId="1100" builtinId="9" hidden="1"/>
    <cellStyle name="Followed Hyperlink" xfId="1102" builtinId="9" hidden="1"/>
    <cellStyle name="Followed Hyperlink" xfId="1104" builtinId="9" hidden="1"/>
    <cellStyle name="Followed Hyperlink" xfId="1106" builtinId="9" hidden="1"/>
    <cellStyle name="Followed Hyperlink" xfId="1108" builtinId="9" hidden="1"/>
    <cellStyle name="Followed Hyperlink" xfId="1110" builtinId="9" hidden="1"/>
    <cellStyle name="Followed Hyperlink" xfId="1112" builtinId="9" hidden="1"/>
    <cellStyle name="Followed Hyperlink" xfId="1114" builtinId="9" hidden="1"/>
    <cellStyle name="Followed Hyperlink" xfId="1116" builtinId="9" hidden="1"/>
    <cellStyle name="Followed Hyperlink" xfId="1118" builtinId="9" hidden="1"/>
    <cellStyle name="Followed Hyperlink" xfId="1120" builtinId="9" hidden="1"/>
    <cellStyle name="Followed Hyperlink" xfId="1122" builtinId="9" hidden="1"/>
    <cellStyle name="Followed Hyperlink" xfId="1124" builtinId="9" hidden="1"/>
    <cellStyle name="Followed Hyperlink" xfId="1126" builtinId="9" hidden="1"/>
    <cellStyle name="Followed Hyperlink" xfId="1128" builtinId="9" hidden="1"/>
    <cellStyle name="Followed Hyperlink" xfId="1130"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Followed Hyperlink" xfId="1184" builtinId="9" hidden="1"/>
    <cellStyle name="Followed Hyperlink" xfId="1186" builtinId="9" hidden="1"/>
    <cellStyle name="Followed Hyperlink" xfId="1188" builtinId="9" hidden="1"/>
    <cellStyle name="Followed Hyperlink" xfId="1190" builtinId="9" hidden="1"/>
    <cellStyle name="Followed Hyperlink" xfId="1192" builtinId="9" hidden="1"/>
    <cellStyle name="Followed Hyperlink" xfId="1194" builtinId="9" hidden="1"/>
    <cellStyle name="Followed Hyperlink" xfId="1196" builtinId="9" hidden="1"/>
    <cellStyle name="Followed Hyperlink" xfId="1198" builtinId="9" hidden="1"/>
    <cellStyle name="Followed Hyperlink" xfId="1200" builtinId="9" hidden="1"/>
    <cellStyle name="Followed Hyperlink" xfId="1202" builtinId="9" hidden="1"/>
    <cellStyle name="Followed Hyperlink" xfId="1204" builtinId="9" hidden="1"/>
    <cellStyle name="Followed Hyperlink" xfId="1206" builtinId="9" hidden="1"/>
    <cellStyle name="Followed Hyperlink" xfId="1208" builtinId="9" hidden="1"/>
    <cellStyle name="Followed Hyperlink" xfId="1210" builtinId="9" hidden="1"/>
    <cellStyle name="Followed Hyperlink" xfId="1212" builtinId="9" hidden="1"/>
    <cellStyle name="Followed Hyperlink" xfId="1214" builtinId="9" hidden="1"/>
    <cellStyle name="Followed Hyperlink" xfId="1216" builtinId="9" hidden="1"/>
    <cellStyle name="Followed Hyperlink" xfId="1218" builtinId="9" hidden="1"/>
    <cellStyle name="Followed Hyperlink" xfId="1220" builtinId="9" hidden="1"/>
    <cellStyle name="Followed Hyperlink" xfId="1222" builtinId="9" hidden="1"/>
    <cellStyle name="Followed Hyperlink" xfId="1224" builtinId="9" hidden="1"/>
    <cellStyle name="Followed Hyperlink" xfId="1226" builtinId="9" hidden="1"/>
    <cellStyle name="Followed Hyperlink" xfId="1228" builtinId="9" hidden="1"/>
    <cellStyle name="Followed Hyperlink" xfId="1230" builtinId="9" hidden="1"/>
    <cellStyle name="Followed Hyperlink" xfId="1232" builtinId="9" hidden="1"/>
    <cellStyle name="Followed Hyperlink" xfId="1234" builtinId="9" hidden="1"/>
    <cellStyle name="Followed Hyperlink" xfId="1236" builtinId="9" hidden="1"/>
    <cellStyle name="Followed Hyperlink" xfId="1238" builtinId="9" hidden="1"/>
    <cellStyle name="Followed Hyperlink" xfId="1240" builtinId="9" hidden="1"/>
    <cellStyle name="Followed Hyperlink" xfId="1242" builtinId="9" hidden="1"/>
    <cellStyle name="Followed Hyperlink" xfId="1244" builtinId="9" hidden="1"/>
    <cellStyle name="Followed Hyperlink" xfId="1246" builtinId="9" hidden="1"/>
    <cellStyle name="Followed Hyperlink" xfId="1248" builtinId="9" hidden="1"/>
    <cellStyle name="Followed Hyperlink" xfId="1250" builtinId="9" hidden="1"/>
    <cellStyle name="Followed Hyperlink" xfId="1252" builtinId="9" hidden="1"/>
    <cellStyle name="Followed Hyperlink" xfId="1254" builtinId="9" hidden="1"/>
    <cellStyle name="Followed Hyperlink" xfId="1256" builtinId="9" hidden="1"/>
    <cellStyle name="Followed Hyperlink" xfId="1258" builtinId="9" hidden="1"/>
    <cellStyle name="Followed Hyperlink" xfId="1260" builtinId="9" hidden="1"/>
    <cellStyle name="Followed Hyperlink" xfId="1262" builtinId="9" hidden="1"/>
    <cellStyle name="Followed Hyperlink" xfId="1264" builtinId="9" hidden="1"/>
    <cellStyle name="Followed Hyperlink" xfId="1266" builtinId="9" hidden="1"/>
    <cellStyle name="Followed Hyperlink" xfId="1268" builtinId="9" hidden="1"/>
    <cellStyle name="Followed Hyperlink" xfId="1270" builtinId="9" hidden="1"/>
    <cellStyle name="Followed Hyperlink" xfId="1272" builtinId="9" hidden="1"/>
    <cellStyle name="Followed Hyperlink" xfId="1274" builtinId="9" hidden="1"/>
    <cellStyle name="Followed Hyperlink" xfId="1276" builtinId="9" hidden="1"/>
    <cellStyle name="Followed Hyperlink" xfId="1278" builtinId="9" hidden="1"/>
    <cellStyle name="Followed Hyperlink" xfId="1280" builtinId="9" hidden="1"/>
    <cellStyle name="Followed Hyperlink" xfId="1282" builtinId="9" hidden="1"/>
    <cellStyle name="Followed Hyperlink" xfId="1284" builtinId="9" hidden="1"/>
    <cellStyle name="Followed Hyperlink" xfId="1286" builtinId="9" hidden="1"/>
    <cellStyle name="Followed Hyperlink" xfId="1288" builtinId="9" hidden="1"/>
    <cellStyle name="Followed Hyperlink" xfId="1290" builtinId="9" hidden="1"/>
    <cellStyle name="Followed Hyperlink" xfId="1292" builtinId="9" hidden="1"/>
    <cellStyle name="Followed Hyperlink" xfId="1294" builtinId="9" hidden="1"/>
    <cellStyle name="Followed Hyperlink" xfId="1296" builtinId="9" hidden="1"/>
    <cellStyle name="Followed Hyperlink" xfId="1298" builtinId="9" hidden="1"/>
    <cellStyle name="Followed Hyperlink" xfId="1300" builtinId="9" hidden="1"/>
    <cellStyle name="Followed Hyperlink" xfId="1302" builtinId="9" hidden="1"/>
    <cellStyle name="Followed Hyperlink" xfId="1304" builtinId="9" hidden="1"/>
    <cellStyle name="Followed Hyperlink" xfId="1306" builtinId="9" hidden="1"/>
    <cellStyle name="Followed Hyperlink" xfId="1308" builtinId="9" hidden="1"/>
    <cellStyle name="Followed Hyperlink" xfId="1310" builtinId="9" hidden="1"/>
    <cellStyle name="Followed Hyperlink" xfId="1312" builtinId="9" hidden="1"/>
    <cellStyle name="Followed Hyperlink" xfId="1314" builtinId="9" hidden="1"/>
    <cellStyle name="Followed Hyperlink" xfId="1316" builtinId="9" hidden="1"/>
    <cellStyle name="Followed Hyperlink" xfId="1318" builtinId="9" hidden="1"/>
    <cellStyle name="Followed Hyperlink" xfId="1320" builtinId="9" hidden="1"/>
    <cellStyle name="Followed Hyperlink" xfId="1322" builtinId="9" hidden="1"/>
    <cellStyle name="Followed Hyperlink" xfId="1324" builtinId="9" hidden="1"/>
    <cellStyle name="Followed Hyperlink" xfId="1326" builtinId="9" hidden="1"/>
    <cellStyle name="Followed Hyperlink" xfId="1328" builtinId="9" hidden="1"/>
    <cellStyle name="Followed Hyperlink" xfId="1330" builtinId="9" hidden="1"/>
    <cellStyle name="Followed Hyperlink" xfId="1332" builtinId="9" hidden="1"/>
    <cellStyle name="Followed Hyperlink" xfId="1334" builtinId="9" hidden="1"/>
    <cellStyle name="Followed Hyperlink" xfId="1336" builtinId="9" hidden="1"/>
    <cellStyle name="Followed Hyperlink" xfId="1338" builtinId="9" hidden="1"/>
    <cellStyle name="Followed Hyperlink" xfId="1340" builtinId="9" hidden="1"/>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Followed Hyperlink" xfId="1356" builtinId="9" hidden="1"/>
    <cellStyle name="Followed Hyperlink" xfId="1358" builtinId="9" hidden="1"/>
    <cellStyle name="Followed Hyperlink" xfId="1360" builtinId="9" hidden="1"/>
    <cellStyle name="Followed Hyperlink" xfId="1362" builtinId="9" hidden="1"/>
    <cellStyle name="Followed Hyperlink" xfId="1364" builtinId="9" hidden="1"/>
    <cellStyle name="Followed Hyperlink" xfId="1366" builtinId="9" hidden="1"/>
    <cellStyle name="Followed Hyperlink" xfId="1368" builtinId="9" hidden="1"/>
    <cellStyle name="Followed Hyperlink" xfId="1370" builtinId="9" hidden="1"/>
    <cellStyle name="Followed Hyperlink" xfId="1372" builtinId="9" hidden="1"/>
    <cellStyle name="Followed Hyperlink" xfId="1374" builtinId="9" hidden="1"/>
    <cellStyle name="Followed Hyperlink" xfId="1376" builtinId="9" hidden="1"/>
    <cellStyle name="Followed Hyperlink" xfId="1378" builtinId="9" hidden="1"/>
    <cellStyle name="Followed Hyperlink" xfId="1380" builtinId="9" hidden="1"/>
    <cellStyle name="Followed Hyperlink" xfId="1382" builtinId="9" hidden="1"/>
    <cellStyle name="Followed Hyperlink" xfId="1384" builtinId="9" hidden="1"/>
    <cellStyle name="Followed Hyperlink" xfId="1386" builtinId="9" hidden="1"/>
    <cellStyle name="Followed Hyperlink" xfId="1388" builtinId="9" hidden="1"/>
    <cellStyle name="Followed Hyperlink" xfId="1390" builtinId="9" hidden="1"/>
    <cellStyle name="Followed Hyperlink" xfId="1392" builtinId="9" hidden="1"/>
    <cellStyle name="Followed Hyperlink" xfId="1394" builtinId="9" hidden="1"/>
    <cellStyle name="Followed Hyperlink" xfId="1396" builtinId="9" hidden="1"/>
    <cellStyle name="Followed Hyperlink" xfId="1398" builtinId="9" hidden="1"/>
    <cellStyle name="Followed Hyperlink" xfId="1400" builtinId="9" hidden="1"/>
    <cellStyle name="Followed Hyperlink" xfId="1402" builtinId="9" hidden="1"/>
    <cellStyle name="Followed Hyperlink" xfId="1404" builtinId="9" hidden="1"/>
    <cellStyle name="Followed Hyperlink" xfId="1406" builtinId="9" hidden="1"/>
    <cellStyle name="Followed Hyperlink" xfId="1408" builtinId="9" hidden="1"/>
    <cellStyle name="Followed Hyperlink" xfId="1410" builtinId="9" hidden="1"/>
    <cellStyle name="Followed Hyperlink" xfId="1412" builtinId="9" hidden="1"/>
    <cellStyle name="Followed Hyperlink" xfId="1414" builtinId="9" hidden="1"/>
    <cellStyle name="Followed Hyperlink" xfId="1416" builtinId="9" hidden="1"/>
    <cellStyle name="Followed Hyperlink" xfId="1418" builtinId="9" hidden="1"/>
    <cellStyle name="Followed Hyperlink" xfId="1420" builtinId="9" hidden="1"/>
    <cellStyle name="Followed Hyperlink" xfId="1422" builtinId="9" hidden="1"/>
    <cellStyle name="Followed Hyperlink" xfId="1424" builtinId="9" hidden="1"/>
    <cellStyle name="Followed Hyperlink" xfId="1426" builtinId="9" hidden="1"/>
    <cellStyle name="Followed Hyperlink" xfId="1428" builtinId="9" hidden="1"/>
    <cellStyle name="Followed Hyperlink" xfId="1430" builtinId="9" hidden="1"/>
    <cellStyle name="Followed Hyperlink" xfId="1432" builtinId="9" hidden="1"/>
    <cellStyle name="Followed Hyperlink" xfId="1434" builtinId="9" hidden="1"/>
    <cellStyle name="Followed Hyperlink" xfId="1436" builtinId="9" hidden="1"/>
    <cellStyle name="Followed Hyperlink" xfId="1438" builtinId="9" hidden="1"/>
    <cellStyle name="Followed Hyperlink" xfId="1440" builtinId="9" hidden="1"/>
    <cellStyle name="Followed Hyperlink" xfId="1442" builtinId="9" hidden="1"/>
    <cellStyle name="Followed Hyperlink" xfId="1444" builtinId="9" hidden="1"/>
    <cellStyle name="Followed Hyperlink" xfId="1446" builtinId="9" hidden="1"/>
    <cellStyle name="Followed Hyperlink" xfId="1448" builtinId="9" hidden="1"/>
    <cellStyle name="Followed Hyperlink" xfId="1450" builtinId="9" hidden="1"/>
    <cellStyle name="Followed Hyperlink" xfId="1452" builtinId="9" hidden="1"/>
    <cellStyle name="Followed Hyperlink" xfId="1454" builtinId="9" hidden="1"/>
    <cellStyle name="Followed Hyperlink" xfId="1456" builtinId="9" hidden="1"/>
    <cellStyle name="Followed Hyperlink" xfId="1458" builtinId="9" hidden="1"/>
    <cellStyle name="Followed Hyperlink" xfId="1460" builtinId="9" hidden="1"/>
    <cellStyle name="Followed Hyperlink" xfId="1462" builtinId="9" hidden="1"/>
    <cellStyle name="Followed Hyperlink" xfId="1464" builtinId="9" hidden="1"/>
    <cellStyle name="Followed Hyperlink" xfId="1466" builtinId="9" hidden="1"/>
    <cellStyle name="Followed Hyperlink" xfId="1468" builtinId="9" hidden="1"/>
    <cellStyle name="Followed Hyperlink" xfId="1470" builtinId="9" hidden="1"/>
    <cellStyle name="Followed Hyperlink" xfId="1472" builtinId="9" hidden="1"/>
    <cellStyle name="Followed Hyperlink" xfId="1474" builtinId="9" hidden="1"/>
    <cellStyle name="Followed Hyperlink" xfId="1476" builtinId="9" hidden="1"/>
    <cellStyle name="Followed Hyperlink" xfId="1478" builtinId="9" hidden="1"/>
    <cellStyle name="Followed Hyperlink" xfId="1480" builtinId="9" hidden="1"/>
    <cellStyle name="Followed Hyperlink" xfId="1482" builtinId="9" hidden="1"/>
    <cellStyle name="Followed Hyperlink" xfId="1484" builtinId="9" hidden="1"/>
    <cellStyle name="Followed Hyperlink" xfId="1486" builtinId="9" hidden="1"/>
    <cellStyle name="Followed Hyperlink" xfId="1488" builtinId="9" hidden="1"/>
    <cellStyle name="Followed Hyperlink" xfId="1490" builtinId="9" hidden="1"/>
    <cellStyle name="Followed Hyperlink" xfId="1492" builtinId="9" hidden="1"/>
    <cellStyle name="Followed Hyperlink" xfId="1494" builtinId="9" hidden="1"/>
    <cellStyle name="Followed Hyperlink" xfId="1496" builtinId="9" hidden="1"/>
    <cellStyle name="Followed Hyperlink" xfId="1498" builtinId="9" hidden="1"/>
    <cellStyle name="Followed Hyperlink" xfId="1500" builtinId="9" hidden="1"/>
    <cellStyle name="Followed Hyperlink" xfId="1502" builtinId="9" hidden="1"/>
    <cellStyle name="Followed Hyperlink" xfId="1504" builtinId="9" hidden="1"/>
    <cellStyle name="Followed Hyperlink" xfId="1506" builtinId="9" hidden="1"/>
    <cellStyle name="Followed Hyperlink" xfId="150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2" builtinId="9" hidden="1"/>
    <cellStyle name="Followed Hyperlink" xfId="1604" builtinId="9" hidden="1"/>
    <cellStyle name="Followed Hyperlink" xfId="1606" builtinId="9" hidden="1"/>
    <cellStyle name="Followed Hyperlink" xfId="1608" builtinId="9" hidden="1"/>
    <cellStyle name="Followed Hyperlink" xfId="1610" builtinId="9" hidden="1"/>
    <cellStyle name="Followed Hyperlink" xfId="1612" builtinId="9" hidden="1"/>
    <cellStyle name="Followed Hyperlink" xfId="1614" builtinId="9" hidden="1"/>
    <cellStyle name="Followed Hyperlink" xfId="1616" builtinId="9" hidden="1"/>
    <cellStyle name="Followed Hyperlink" xfId="1618" builtinId="9" hidden="1"/>
    <cellStyle name="Followed Hyperlink" xfId="1620" builtinId="9" hidden="1"/>
    <cellStyle name="Followed Hyperlink" xfId="1622" builtinId="9" hidden="1"/>
    <cellStyle name="Followed Hyperlink" xfId="1624" builtinId="9" hidden="1"/>
    <cellStyle name="Followed Hyperlink" xfId="1626" builtinId="9" hidden="1"/>
    <cellStyle name="Followed Hyperlink" xfId="1628" builtinId="9" hidden="1"/>
    <cellStyle name="Followed Hyperlink" xfId="1630" builtinId="9" hidden="1"/>
    <cellStyle name="Followed Hyperlink" xfId="1632" builtinId="9" hidden="1"/>
    <cellStyle name="Followed Hyperlink" xfId="1634" builtinId="9" hidden="1"/>
    <cellStyle name="Followed Hyperlink" xfId="1636" builtinId="9" hidden="1"/>
    <cellStyle name="Followed Hyperlink" xfId="1638" builtinId="9" hidden="1"/>
    <cellStyle name="Followed Hyperlink" xfId="1640" builtinId="9" hidden="1"/>
    <cellStyle name="Followed Hyperlink" xfId="1642" builtinId="9" hidden="1"/>
    <cellStyle name="Followed Hyperlink" xfId="1644" builtinId="9" hidden="1"/>
    <cellStyle name="Followed Hyperlink" xfId="1646" builtinId="9" hidden="1"/>
    <cellStyle name="Followed Hyperlink" xfId="1648" builtinId="9" hidden="1"/>
    <cellStyle name="Followed Hyperlink" xfId="1650" builtinId="9" hidden="1"/>
    <cellStyle name="Followed Hyperlink" xfId="1652" builtinId="9" hidden="1"/>
    <cellStyle name="Followed Hyperlink" xfId="1654" builtinId="9" hidden="1"/>
    <cellStyle name="Followed Hyperlink" xfId="1656" builtinId="9" hidden="1"/>
    <cellStyle name="Followed Hyperlink" xfId="1658" builtinId="9" hidden="1"/>
    <cellStyle name="Followed Hyperlink" xfId="1660" builtinId="9" hidden="1"/>
    <cellStyle name="Followed Hyperlink" xfId="1662" builtinId="9" hidden="1"/>
    <cellStyle name="Followed Hyperlink" xfId="1664" builtinId="9" hidden="1"/>
    <cellStyle name="Followed Hyperlink" xfId="1666" builtinId="9" hidden="1"/>
    <cellStyle name="Followed Hyperlink" xfId="1668" builtinId="9" hidden="1"/>
    <cellStyle name="Followed Hyperlink" xfId="1670" builtinId="9" hidden="1"/>
    <cellStyle name="Followed Hyperlink" xfId="1672" builtinId="9" hidden="1"/>
    <cellStyle name="Followed Hyperlink" xfId="1674" builtinId="9" hidden="1"/>
    <cellStyle name="Followed Hyperlink" xfId="1676" builtinId="9" hidden="1"/>
    <cellStyle name="Followed Hyperlink" xfId="1678" builtinId="9" hidden="1"/>
    <cellStyle name="Followed Hyperlink" xfId="1680" builtinId="9" hidden="1"/>
    <cellStyle name="Followed Hyperlink" xfId="1682" builtinId="9" hidden="1"/>
    <cellStyle name="Followed Hyperlink" xfId="1684" builtinId="9" hidden="1"/>
    <cellStyle name="Followed Hyperlink" xfId="1686" builtinId="9" hidden="1"/>
    <cellStyle name="Followed Hyperlink" xfId="1688" builtinId="9" hidden="1"/>
    <cellStyle name="Followed Hyperlink" xfId="1690" builtinId="9" hidden="1"/>
    <cellStyle name="Followed Hyperlink" xfId="1692" builtinId="9" hidden="1"/>
    <cellStyle name="Followed Hyperlink" xfId="1694" builtinId="9" hidden="1"/>
    <cellStyle name="Followed Hyperlink" xfId="1696" builtinId="9" hidden="1"/>
    <cellStyle name="Followed Hyperlink" xfId="1698" builtinId="9" hidden="1"/>
    <cellStyle name="Followed Hyperlink" xfId="1700" builtinId="9" hidden="1"/>
    <cellStyle name="Followed Hyperlink" xfId="1702" builtinId="9" hidden="1"/>
    <cellStyle name="Followed Hyperlink" xfId="1704" builtinId="9" hidden="1"/>
    <cellStyle name="Followed Hyperlink" xfId="1706" builtinId="9" hidden="1"/>
    <cellStyle name="Followed Hyperlink" xfId="1708" builtinId="9" hidden="1"/>
    <cellStyle name="Followed Hyperlink" xfId="1710" builtinId="9" hidden="1"/>
    <cellStyle name="Followed Hyperlink" xfId="1712" builtinId="9" hidden="1"/>
    <cellStyle name="Followed Hyperlink" xfId="1714" builtinId="9" hidden="1"/>
    <cellStyle name="Followed Hyperlink" xfId="1716" builtinId="9" hidden="1"/>
    <cellStyle name="Followed Hyperlink" xfId="1718" builtinId="9" hidden="1"/>
    <cellStyle name="Followed Hyperlink" xfId="1720" builtinId="9" hidden="1"/>
    <cellStyle name="Followed Hyperlink" xfId="1722" builtinId="9" hidden="1"/>
    <cellStyle name="Followed Hyperlink" xfId="1724" builtinId="9" hidden="1"/>
    <cellStyle name="Followed Hyperlink" xfId="1726" builtinId="9" hidden="1"/>
    <cellStyle name="Followed Hyperlink" xfId="1728" builtinId="9" hidden="1"/>
    <cellStyle name="Followed Hyperlink" xfId="1730" builtinId="9" hidden="1"/>
    <cellStyle name="Followed Hyperlink" xfId="1732" builtinId="9" hidden="1"/>
    <cellStyle name="Followed Hyperlink" xfId="1734" builtinId="9" hidden="1"/>
    <cellStyle name="Followed Hyperlink" xfId="1736" builtinId="9" hidden="1"/>
    <cellStyle name="Followed Hyperlink" xfId="1738" builtinId="9" hidden="1"/>
    <cellStyle name="Followed Hyperlink" xfId="1740" builtinId="9" hidden="1"/>
    <cellStyle name="Followed Hyperlink" xfId="1742" builtinId="9" hidden="1"/>
    <cellStyle name="Followed Hyperlink" xfId="1744" builtinId="9" hidden="1"/>
    <cellStyle name="Followed Hyperlink" xfId="1746" builtinId="9" hidden="1"/>
    <cellStyle name="Followed Hyperlink" xfId="1748" builtinId="9" hidden="1"/>
    <cellStyle name="Followed Hyperlink" xfId="1750" builtinId="9" hidden="1"/>
    <cellStyle name="Followed Hyperlink" xfId="1752" builtinId="9" hidden="1"/>
    <cellStyle name="Followed Hyperlink" xfId="1754" builtinId="9" hidden="1"/>
    <cellStyle name="Followed Hyperlink" xfId="1756" builtinId="9" hidden="1"/>
    <cellStyle name="Followed Hyperlink" xfId="1758" builtinId="9" hidden="1"/>
    <cellStyle name="Followed Hyperlink" xfId="1760" builtinId="9" hidden="1"/>
    <cellStyle name="Followed Hyperlink" xfId="1762" builtinId="9" hidden="1"/>
    <cellStyle name="Followed Hyperlink" xfId="1764" builtinId="9" hidden="1"/>
    <cellStyle name="Followed Hyperlink" xfId="1766" builtinId="9" hidden="1"/>
    <cellStyle name="Followed Hyperlink" xfId="1768" builtinId="9" hidden="1"/>
    <cellStyle name="Followed Hyperlink" xfId="1770" builtinId="9" hidden="1"/>
    <cellStyle name="Followed Hyperlink" xfId="1772" builtinId="9" hidden="1"/>
    <cellStyle name="Followed Hyperlink" xfId="1774" builtinId="9" hidden="1"/>
    <cellStyle name="Followed Hyperlink" xfId="1776" builtinId="9" hidden="1"/>
    <cellStyle name="Followed Hyperlink" xfId="1778" builtinId="9" hidden="1"/>
    <cellStyle name="Followed Hyperlink" xfId="1780" builtinId="9" hidden="1"/>
    <cellStyle name="Followed Hyperlink" xfId="1782" builtinId="9" hidden="1"/>
    <cellStyle name="Followed Hyperlink" xfId="1784" builtinId="9" hidden="1"/>
    <cellStyle name="Followed Hyperlink" xfId="1786" builtinId="9" hidden="1"/>
    <cellStyle name="Followed Hyperlink" xfId="1788" builtinId="9" hidden="1"/>
    <cellStyle name="Followed Hyperlink" xfId="1790" builtinId="9" hidden="1"/>
    <cellStyle name="Followed Hyperlink" xfId="1792" builtinId="9" hidden="1"/>
    <cellStyle name="Followed Hyperlink" xfId="1794" builtinId="9" hidden="1"/>
    <cellStyle name="Followed Hyperlink" xfId="1796" builtinId="9" hidden="1"/>
    <cellStyle name="Followed Hyperlink" xfId="1798" builtinId="9" hidden="1"/>
    <cellStyle name="Followed Hyperlink" xfId="1800" builtinId="9" hidden="1"/>
    <cellStyle name="Followed Hyperlink" xfId="1802" builtinId="9" hidden="1"/>
    <cellStyle name="Followed Hyperlink" xfId="1804" builtinId="9" hidden="1"/>
    <cellStyle name="Followed Hyperlink" xfId="1806" builtinId="9" hidden="1"/>
    <cellStyle name="Followed Hyperlink" xfId="1808" builtinId="9" hidden="1"/>
    <cellStyle name="Followed Hyperlink" xfId="1810" builtinId="9" hidden="1"/>
    <cellStyle name="Followed Hyperlink" xfId="1812" builtinId="9" hidden="1"/>
    <cellStyle name="Followed Hyperlink" xfId="1814" builtinId="9" hidden="1"/>
    <cellStyle name="Followed Hyperlink" xfId="1816" builtinId="9" hidden="1"/>
    <cellStyle name="Followed Hyperlink" xfId="1818" builtinId="9" hidden="1"/>
    <cellStyle name="Followed Hyperlink" xfId="1820" builtinId="9" hidden="1"/>
    <cellStyle name="Followed Hyperlink" xfId="1822" builtinId="9" hidden="1"/>
    <cellStyle name="Followed Hyperlink" xfId="1824" builtinId="9" hidden="1"/>
    <cellStyle name="Followed Hyperlink" xfId="1826" builtinId="9" hidden="1"/>
    <cellStyle name="Followed Hyperlink" xfId="1828" builtinId="9" hidden="1"/>
    <cellStyle name="Followed Hyperlink" xfId="1830" builtinId="9" hidden="1"/>
    <cellStyle name="Followed Hyperlink" xfId="1832" builtinId="9" hidden="1"/>
    <cellStyle name="Followed Hyperlink" xfId="1834" builtinId="9" hidden="1"/>
    <cellStyle name="Followed Hyperlink" xfId="1836" builtinId="9" hidden="1"/>
    <cellStyle name="Followed Hyperlink" xfId="1838" builtinId="9" hidden="1"/>
    <cellStyle name="Followed Hyperlink" xfId="1840" builtinId="9" hidden="1"/>
    <cellStyle name="Followed Hyperlink" xfId="1842" builtinId="9" hidden="1"/>
    <cellStyle name="Followed Hyperlink" xfId="1844" builtinId="9" hidden="1"/>
    <cellStyle name="Followed Hyperlink" xfId="1846" builtinId="9" hidden="1"/>
    <cellStyle name="Followed Hyperlink" xfId="1848" builtinId="9" hidden="1"/>
    <cellStyle name="Followed Hyperlink" xfId="1850" builtinId="9" hidden="1"/>
    <cellStyle name="Followed Hyperlink" xfId="1852" builtinId="9" hidden="1"/>
    <cellStyle name="Followed Hyperlink" xfId="1854" builtinId="9" hidden="1"/>
    <cellStyle name="Followed Hyperlink" xfId="1856" builtinId="9" hidden="1"/>
    <cellStyle name="Followed Hyperlink" xfId="1858" builtinId="9" hidden="1"/>
    <cellStyle name="Followed Hyperlink" xfId="1860" builtinId="9" hidden="1"/>
    <cellStyle name="Followed Hyperlink" xfId="1862" builtinId="9" hidden="1"/>
    <cellStyle name="Followed Hyperlink" xfId="1864" builtinId="9" hidden="1"/>
    <cellStyle name="Followed Hyperlink" xfId="1866" builtinId="9" hidden="1"/>
    <cellStyle name="Followed Hyperlink" xfId="1868" builtinId="9" hidden="1"/>
    <cellStyle name="Followed Hyperlink" xfId="1870" builtinId="9" hidden="1"/>
    <cellStyle name="Followed Hyperlink" xfId="1872" builtinId="9" hidden="1"/>
    <cellStyle name="Followed Hyperlink" xfId="1874" builtinId="9" hidden="1"/>
    <cellStyle name="Followed Hyperlink" xfId="1876" builtinId="9" hidden="1"/>
    <cellStyle name="Followed Hyperlink" xfId="1878" builtinId="9" hidden="1"/>
    <cellStyle name="Followed Hyperlink" xfId="1880" builtinId="9" hidden="1"/>
    <cellStyle name="Followed Hyperlink" xfId="1882" builtinId="9" hidden="1"/>
    <cellStyle name="Followed Hyperlink" xfId="1884" builtinId="9" hidden="1"/>
    <cellStyle name="Followed Hyperlink" xfId="1886" builtinId="9" hidden="1"/>
    <cellStyle name="Followed Hyperlink" xfId="1888" builtinId="9" hidden="1"/>
    <cellStyle name="Followed Hyperlink" xfId="1890" builtinId="9" hidden="1"/>
    <cellStyle name="Followed Hyperlink" xfId="1892" builtinId="9" hidden="1"/>
    <cellStyle name="Followed Hyperlink" xfId="1894" builtinId="9" hidden="1"/>
    <cellStyle name="Followed Hyperlink" xfId="1896" builtinId="9" hidden="1"/>
    <cellStyle name="Followed Hyperlink" xfId="1898" builtinId="9" hidden="1"/>
    <cellStyle name="Followed Hyperlink" xfId="1900" builtinId="9" hidden="1"/>
    <cellStyle name="Followed Hyperlink" xfId="1902" builtinId="9" hidden="1"/>
    <cellStyle name="Followed Hyperlink" xfId="1904" builtinId="9" hidden="1"/>
    <cellStyle name="Followed Hyperlink" xfId="1906" builtinId="9" hidden="1"/>
    <cellStyle name="Followed Hyperlink" xfId="1908" builtinId="9" hidden="1"/>
    <cellStyle name="Followed Hyperlink" xfId="1910" builtinId="9" hidden="1"/>
    <cellStyle name="Followed Hyperlink" xfId="1912" builtinId="9" hidden="1"/>
    <cellStyle name="Followed Hyperlink" xfId="1914" builtinId="9" hidden="1"/>
    <cellStyle name="Followed Hyperlink" xfId="1916" builtinId="9" hidden="1"/>
    <cellStyle name="Followed Hyperlink" xfId="1918" builtinId="9" hidden="1"/>
    <cellStyle name="Followed Hyperlink" xfId="1920" builtinId="9" hidden="1"/>
    <cellStyle name="Followed Hyperlink" xfId="1922" builtinId="9" hidden="1"/>
    <cellStyle name="Followed Hyperlink" xfId="1924" builtinId="9" hidden="1"/>
    <cellStyle name="Followed Hyperlink" xfId="1926" builtinId="9" hidden="1"/>
    <cellStyle name="Followed Hyperlink" xfId="1928" builtinId="9" hidden="1"/>
    <cellStyle name="Followed Hyperlink" xfId="1930" builtinId="9" hidden="1"/>
    <cellStyle name="Followed Hyperlink" xfId="1932" builtinId="9" hidden="1"/>
    <cellStyle name="Followed Hyperlink" xfId="1934" builtinId="9" hidden="1"/>
    <cellStyle name="Followed Hyperlink" xfId="1936" builtinId="9" hidden="1"/>
    <cellStyle name="Followed Hyperlink" xfId="1938" builtinId="9" hidden="1"/>
    <cellStyle name="Followed Hyperlink" xfId="1940" builtinId="9" hidden="1"/>
    <cellStyle name="Followed Hyperlink" xfId="1942" builtinId="9" hidden="1"/>
    <cellStyle name="Followed Hyperlink" xfId="1944" builtinId="9" hidden="1"/>
    <cellStyle name="Followed Hyperlink" xfId="1946" builtinId="9" hidden="1"/>
    <cellStyle name="Followed Hyperlink" xfId="1948" builtinId="9" hidden="1"/>
    <cellStyle name="Followed Hyperlink" xfId="1950" builtinId="9" hidden="1"/>
    <cellStyle name="Followed Hyperlink" xfId="1952" builtinId="9" hidden="1"/>
    <cellStyle name="Followed Hyperlink" xfId="1954" builtinId="9" hidden="1"/>
    <cellStyle name="Followed Hyperlink" xfId="1956" builtinId="9" hidden="1"/>
    <cellStyle name="Followed Hyperlink" xfId="1958" builtinId="9" hidden="1"/>
    <cellStyle name="Followed Hyperlink" xfId="1960" builtinId="9" hidden="1"/>
    <cellStyle name="Followed Hyperlink" xfId="1962" builtinId="9" hidden="1"/>
    <cellStyle name="Followed Hyperlink" xfId="1964" builtinId="9" hidden="1"/>
    <cellStyle name="Followed Hyperlink" xfId="1966" builtinId="9" hidden="1"/>
    <cellStyle name="Followed Hyperlink" xfId="1968" builtinId="9" hidden="1"/>
    <cellStyle name="Followed Hyperlink" xfId="1970" builtinId="9" hidden="1"/>
    <cellStyle name="Followed Hyperlink" xfId="1972" builtinId="9" hidden="1"/>
    <cellStyle name="Followed Hyperlink" xfId="1974" builtinId="9" hidden="1"/>
    <cellStyle name="Followed Hyperlink" xfId="1976" builtinId="9" hidden="1"/>
    <cellStyle name="Followed Hyperlink" xfId="1978" builtinId="9" hidden="1"/>
    <cellStyle name="Followed Hyperlink" xfId="1980" builtinId="9" hidden="1"/>
    <cellStyle name="Followed Hyperlink" xfId="1982" builtinId="9" hidden="1"/>
    <cellStyle name="Followed Hyperlink" xfId="1984" builtinId="9" hidden="1"/>
    <cellStyle name="Followed Hyperlink" xfId="1986" builtinId="9" hidden="1"/>
    <cellStyle name="Followed Hyperlink" xfId="1988" builtinId="9" hidden="1"/>
    <cellStyle name="Followed Hyperlink" xfId="1990" builtinId="9" hidden="1"/>
    <cellStyle name="Followed Hyperlink" xfId="1992" builtinId="9" hidden="1"/>
    <cellStyle name="Followed Hyperlink" xfId="1994" builtinId="9" hidden="1"/>
    <cellStyle name="Followed Hyperlink" xfId="1996" builtinId="9" hidden="1"/>
    <cellStyle name="Followed Hyperlink" xfId="1998" builtinId="9" hidden="1"/>
    <cellStyle name="Followed Hyperlink" xfId="2000" builtinId="9" hidden="1"/>
    <cellStyle name="Followed Hyperlink" xfId="2002" builtinId="9" hidden="1"/>
    <cellStyle name="Followed Hyperlink" xfId="2004" builtinId="9" hidden="1"/>
    <cellStyle name="Followed Hyperlink" xfId="2006" builtinId="9" hidden="1"/>
    <cellStyle name="Followed Hyperlink" xfId="2008" builtinId="9" hidden="1"/>
    <cellStyle name="Followed Hyperlink" xfId="2010" builtinId="9" hidden="1"/>
    <cellStyle name="Followed Hyperlink" xfId="2012" builtinId="9" hidden="1"/>
    <cellStyle name="Followed Hyperlink" xfId="2014" builtinId="9" hidden="1"/>
    <cellStyle name="Followed Hyperlink" xfId="2016" builtinId="9" hidden="1"/>
    <cellStyle name="Followed Hyperlink" xfId="2018" builtinId="9" hidden="1"/>
    <cellStyle name="Followed Hyperlink" xfId="2020" builtinId="9" hidden="1"/>
    <cellStyle name="Followed Hyperlink" xfId="2022" builtinId="9" hidden="1"/>
    <cellStyle name="Followed Hyperlink" xfId="2024" builtinId="9" hidden="1"/>
    <cellStyle name="Followed Hyperlink" xfId="2026" builtinId="9" hidden="1"/>
    <cellStyle name="Followed Hyperlink" xfId="2028" builtinId="9" hidden="1"/>
    <cellStyle name="Followed Hyperlink" xfId="2030" builtinId="9" hidden="1"/>
    <cellStyle name="Followed Hyperlink" xfId="2032" builtinId="9" hidden="1"/>
    <cellStyle name="Followed Hyperlink" xfId="2034" builtinId="9" hidden="1"/>
    <cellStyle name="Followed Hyperlink" xfId="2036" builtinId="9" hidden="1"/>
    <cellStyle name="Followed Hyperlink" xfId="2038" builtinId="9" hidden="1"/>
    <cellStyle name="Followed Hyperlink" xfId="2040" builtinId="9" hidden="1"/>
    <cellStyle name="Followed Hyperlink" xfId="2042" builtinId="9" hidden="1"/>
    <cellStyle name="Followed Hyperlink" xfId="2044" builtinId="9" hidden="1"/>
    <cellStyle name="Followed Hyperlink" xfId="2046" builtinId="9" hidden="1"/>
    <cellStyle name="Followed Hyperlink" xfId="2048" builtinId="9" hidden="1"/>
    <cellStyle name="Followed Hyperlink" xfId="2050" builtinId="9" hidden="1"/>
    <cellStyle name="Followed Hyperlink" xfId="2052" builtinId="9" hidden="1"/>
    <cellStyle name="Followed Hyperlink" xfId="2054" builtinId="9" hidden="1"/>
    <cellStyle name="Followed Hyperlink" xfId="2056" builtinId="9" hidden="1"/>
    <cellStyle name="Followed Hyperlink" xfId="2058" builtinId="9" hidden="1"/>
    <cellStyle name="Followed Hyperlink" xfId="2060" builtinId="9" hidden="1"/>
    <cellStyle name="Followed Hyperlink" xfId="2062" builtinId="9" hidden="1"/>
    <cellStyle name="Followed Hyperlink" xfId="2064" builtinId="9" hidden="1"/>
    <cellStyle name="Followed Hyperlink" xfId="2066" builtinId="9" hidden="1"/>
    <cellStyle name="Followed Hyperlink" xfId="2068" builtinId="9" hidden="1"/>
    <cellStyle name="Followed Hyperlink" xfId="2070" builtinId="9" hidden="1"/>
    <cellStyle name="Followed Hyperlink" xfId="2072" builtinId="9" hidden="1"/>
    <cellStyle name="Followed Hyperlink" xfId="2074" builtinId="9" hidden="1"/>
    <cellStyle name="Followed Hyperlink" xfId="2076" builtinId="9" hidden="1"/>
    <cellStyle name="Followed Hyperlink" xfId="2078" builtinId="9" hidden="1"/>
    <cellStyle name="Followed Hyperlink" xfId="2080" builtinId="9" hidden="1"/>
    <cellStyle name="Followed Hyperlink" xfId="2082" builtinId="9" hidden="1"/>
    <cellStyle name="Followed Hyperlink" xfId="2084" builtinId="9" hidden="1"/>
    <cellStyle name="Followed Hyperlink" xfId="2086" builtinId="9" hidden="1"/>
    <cellStyle name="Followed Hyperlink" xfId="2088" builtinId="9" hidden="1"/>
    <cellStyle name="Followed Hyperlink" xfId="2090" builtinId="9" hidden="1"/>
    <cellStyle name="Followed Hyperlink" xfId="2092" builtinId="9" hidden="1"/>
    <cellStyle name="Followed Hyperlink" xfId="2094" builtinId="9" hidden="1"/>
    <cellStyle name="Followed Hyperlink" xfId="2096" builtinId="9" hidden="1"/>
    <cellStyle name="Followed Hyperlink" xfId="2098" builtinId="9" hidden="1"/>
    <cellStyle name="Followed Hyperlink" xfId="2100" builtinId="9" hidden="1"/>
    <cellStyle name="Followed Hyperlink" xfId="2102" builtinId="9" hidden="1"/>
    <cellStyle name="Followed Hyperlink" xfId="2104" builtinId="9" hidden="1"/>
    <cellStyle name="Followed Hyperlink" xfId="2106" builtinId="9" hidden="1"/>
    <cellStyle name="Followed Hyperlink" xfId="2108" builtinId="9" hidden="1"/>
    <cellStyle name="Followed Hyperlink" xfId="2110" builtinId="9" hidden="1"/>
    <cellStyle name="Followed Hyperlink" xfId="2112" builtinId="9" hidden="1"/>
    <cellStyle name="Followed Hyperlink" xfId="2114" builtinId="9" hidden="1"/>
    <cellStyle name="Followed Hyperlink" xfId="2116" builtinId="9" hidden="1"/>
    <cellStyle name="Followed Hyperlink" xfId="2118" builtinId="9" hidden="1"/>
    <cellStyle name="Followed Hyperlink" xfId="2120" builtinId="9" hidden="1"/>
    <cellStyle name="Followed Hyperlink" xfId="2122" builtinId="9" hidden="1"/>
    <cellStyle name="Followed Hyperlink" xfId="2124" builtinId="9" hidden="1"/>
    <cellStyle name="Followed Hyperlink" xfId="2126" builtinId="9" hidden="1"/>
    <cellStyle name="Followed Hyperlink" xfId="2128" builtinId="9" hidden="1"/>
    <cellStyle name="Followed Hyperlink" xfId="2130" builtinId="9" hidden="1"/>
    <cellStyle name="Followed Hyperlink" xfId="2132" builtinId="9" hidden="1"/>
    <cellStyle name="Followed Hyperlink" xfId="2134" builtinId="9" hidden="1"/>
    <cellStyle name="Followed Hyperlink" xfId="2136" builtinId="9" hidden="1"/>
    <cellStyle name="Followed Hyperlink" xfId="2138" builtinId="9" hidden="1"/>
    <cellStyle name="Followed Hyperlink" xfId="2140" builtinId="9" hidden="1"/>
    <cellStyle name="Followed Hyperlink" xfId="2142" builtinId="9" hidden="1"/>
    <cellStyle name="Followed Hyperlink" xfId="2144" builtinId="9" hidden="1"/>
    <cellStyle name="Followed Hyperlink" xfId="2146" builtinId="9" hidden="1"/>
    <cellStyle name="Followed Hyperlink" xfId="2148" builtinId="9" hidden="1"/>
    <cellStyle name="Followed Hyperlink" xfId="2150" builtinId="9" hidden="1"/>
    <cellStyle name="Followed Hyperlink" xfId="2152" builtinId="9" hidden="1"/>
    <cellStyle name="Followed Hyperlink" xfId="2154" builtinId="9" hidden="1"/>
    <cellStyle name="Followed Hyperlink" xfId="2156" builtinId="9" hidden="1"/>
    <cellStyle name="Followed Hyperlink" xfId="2158" builtinId="9" hidden="1"/>
    <cellStyle name="Followed Hyperlink" xfId="2160" builtinId="9" hidden="1"/>
    <cellStyle name="Followed Hyperlink" xfId="2162" builtinId="9" hidden="1"/>
    <cellStyle name="Followed Hyperlink" xfId="2164" builtinId="9" hidden="1"/>
    <cellStyle name="Followed Hyperlink" xfId="2166" builtinId="9" hidden="1"/>
    <cellStyle name="Followed Hyperlink" xfId="2168" builtinId="9" hidden="1"/>
    <cellStyle name="Followed Hyperlink" xfId="2170" builtinId="9" hidden="1"/>
    <cellStyle name="Followed Hyperlink" xfId="2172" builtinId="9" hidden="1"/>
    <cellStyle name="Followed Hyperlink" xfId="2174" builtinId="9" hidden="1"/>
    <cellStyle name="Followed Hyperlink" xfId="2176" builtinId="9" hidden="1"/>
    <cellStyle name="Followed Hyperlink" xfId="2178" builtinId="9" hidden="1"/>
    <cellStyle name="Followed Hyperlink" xfId="2180" builtinId="9" hidden="1"/>
    <cellStyle name="Followed Hyperlink" xfId="2182" builtinId="9" hidden="1"/>
    <cellStyle name="Followed Hyperlink" xfId="2184" builtinId="9" hidden="1"/>
    <cellStyle name="Followed Hyperlink" xfId="2186" builtinId="9" hidden="1"/>
    <cellStyle name="Followed Hyperlink" xfId="2188" builtinId="9" hidden="1"/>
    <cellStyle name="Followed Hyperlink" xfId="2190" builtinId="9" hidden="1"/>
    <cellStyle name="Followed Hyperlink" xfId="2192" builtinId="9" hidden="1"/>
    <cellStyle name="Followed Hyperlink" xfId="2194" builtinId="9" hidden="1"/>
    <cellStyle name="Followed Hyperlink" xfId="2196" builtinId="9" hidden="1"/>
    <cellStyle name="Followed Hyperlink" xfId="2198" builtinId="9" hidden="1"/>
    <cellStyle name="Followed Hyperlink" xfId="2200" builtinId="9" hidden="1"/>
    <cellStyle name="Followed Hyperlink" xfId="2202" builtinId="9" hidden="1"/>
    <cellStyle name="Followed Hyperlink" xfId="2204" builtinId="9" hidden="1"/>
    <cellStyle name="Followed Hyperlink" xfId="2206" builtinId="9" hidden="1"/>
    <cellStyle name="Followed Hyperlink" xfId="2208" builtinId="9" hidden="1"/>
    <cellStyle name="Followed Hyperlink" xfId="2210" builtinId="9" hidden="1"/>
    <cellStyle name="Followed Hyperlink" xfId="2212" builtinId="9" hidden="1"/>
    <cellStyle name="Followed Hyperlink" xfId="2214" builtinId="9" hidden="1"/>
    <cellStyle name="Followed Hyperlink" xfId="2216" builtinId="9" hidden="1"/>
    <cellStyle name="Followed Hyperlink" xfId="2218" builtinId="9" hidden="1"/>
    <cellStyle name="Followed Hyperlink" xfId="2220" builtinId="9" hidden="1"/>
    <cellStyle name="Followed Hyperlink" xfId="2222" builtinId="9" hidden="1"/>
    <cellStyle name="Followed Hyperlink" xfId="2224" builtinId="9" hidden="1"/>
    <cellStyle name="Followed Hyperlink" xfId="2226" builtinId="9" hidden="1"/>
    <cellStyle name="Followed Hyperlink" xfId="2228" builtinId="9" hidden="1"/>
    <cellStyle name="Followed Hyperlink" xfId="2230" builtinId="9" hidden="1"/>
    <cellStyle name="Followed Hyperlink" xfId="2232" builtinId="9" hidden="1"/>
    <cellStyle name="Followed Hyperlink" xfId="2234" builtinId="9" hidden="1"/>
    <cellStyle name="Followed Hyperlink" xfId="2236" builtinId="9" hidden="1"/>
    <cellStyle name="Followed Hyperlink" xfId="2238" builtinId="9" hidden="1"/>
    <cellStyle name="Followed Hyperlink" xfId="2240" builtinId="9" hidden="1"/>
    <cellStyle name="Followed Hyperlink" xfId="2242" builtinId="9" hidden="1"/>
    <cellStyle name="Followed Hyperlink" xfId="2244" builtinId="9" hidden="1"/>
    <cellStyle name="Followed Hyperlink" xfId="2246" builtinId="9" hidden="1"/>
    <cellStyle name="Followed Hyperlink" xfId="2248" builtinId="9" hidden="1"/>
    <cellStyle name="Followed Hyperlink" xfId="2250" builtinId="9" hidden="1"/>
    <cellStyle name="Followed Hyperlink" xfId="2252" builtinId="9" hidden="1"/>
    <cellStyle name="Followed Hyperlink" xfId="2254" builtinId="9" hidden="1"/>
    <cellStyle name="Followed Hyperlink" xfId="2256" builtinId="9" hidden="1"/>
    <cellStyle name="Followed Hyperlink" xfId="2258" builtinId="9" hidden="1"/>
    <cellStyle name="Followed Hyperlink" xfId="2260" builtinId="9" hidden="1"/>
    <cellStyle name="Followed Hyperlink" xfId="2262" builtinId="9" hidden="1"/>
    <cellStyle name="Followed Hyperlink" xfId="2264" builtinId="9" hidden="1"/>
    <cellStyle name="Followed Hyperlink" xfId="2266" builtinId="9" hidden="1"/>
    <cellStyle name="Followed Hyperlink" xfId="2268" builtinId="9" hidden="1"/>
    <cellStyle name="Followed Hyperlink" xfId="2270" builtinId="9" hidden="1"/>
    <cellStyle name="Followed Hyperlink" xfId="2272" builtinId="9" hidden="1"/>
    <cellStyle name="Followed Hyperlink" xfId="2274" builtinId="9" hidden="1"/>
    <cellStyle name="Followed Hyperlink" xfId="2276" builtinId="9" hidden="1"/>
    <cellStyle name="Followed Hyperlink" xfId="2278" builtinId="9" hidden="1"/>
    <cellStyle name="Followed Hyperlink" xfId="2280" builtinId="9" hidden="1"/>
    <cellStyle name="Followed Hyperlink" xfId="2282" builtinId="9" hidden="1"/>
    <cellStyle name="Followed Hyperlink" xfId="2284" builtinId="9" hidden="1"/>
    <cellStyle name="Followed Hyperlink" xfId="2286" builtinId="9" hidden="1"/>
    <cellStyle name="Followed Hyperlink" xfId="2288" builtinId="9" hidden="1"/>
    <cellStyle name="Followed Hyperlink" xfId="2290" builtinId="9" hidden="1"/>
    <cellStyle name="Followed Hyperlink" xfId="2292" builtinId="9" hidden="1"/>
    <cellStyle name="Followed Hyperlink" xfId="2294" builtinId="9" hidden="1"/>
    <cellStyle name="Followed Hyperlink" xfId="2296" builtinId="9" hidden="1"/>
    <cellStyle name="Followed Hyperlink" xfId="2298" builtinId="9" hidden="1"/>
    <cellStyle name="Followed Hyperlink" xfId="2300" builtinId="9" hidden="1"/>
    <cellStyle name="Followed Hyperlink" xfId="2302" builtinId="9" hidden="1"/>
    <cellStyle name="Followed Hyperlink" xfId="2304" builtinId="9" hidden="1"/>
    <cellStyle name="Followed Hyperlink" xfId="2306" builtinId="9" hidden="1"/>
    <cellStyle name="Followed Hyperlink" xfId="2308" builtinId="9" hidden="1"/>
    <cellStyle name="Followed Hyperlink" xfId="2310" builtinId="9" hidden="1"/>
    <cellStyle name="Followed Hyperlink" xfId="2312" builtinId="9" hidden="1"/>
    <cellStyle name="Followed Hyperlink" xfId="2314" builtinId="9" hidden="1"/>
    <cellStyle name="Followed Hyperlink" xfId="2316" builtinId="9" hidden="1"/>
    <cellStyle name="Followed Hyperlink" xfId="2318" builtinId="9" hidden="1"/>
    <cellStyle name="Followed Hyperlink" xfId="2320" builtinId="9" hidden="1"/>
    <cellStyle name="Followed Hyperlink" xfId="2322" builtinId="9" hidden="1"/>
    <cellStyle name="Followed Hyperlink" xfId="2324" builtinId="9" hidden="1"/>
    <cellStyle name="Followed Hyperlink" xfId="2326" builtinId="9" hidden="1"/>
    <cellStyle name="Followed Hyperlink" xfId="2328" builtinId="9" hidden="1"/>
    <cellStyle name="Followed Hyperlink" xfId="2330" builtinId="9" hidden="1"/>
    <cellStyle name="Followed Hyperlink" xfId="2332" builtinId="9" hidden="1"/>
    <cellStyle name="Followed Hyperlink" xfId="2334" builtinId="9" hidden="1"/>
    <cellStyle name="Followed Hyperlink" xfId="2336" builtinId="9" hidden="1"/>
    <cellStyle name="Followed Hyperlink" xfId="2338" builtinId="9" hidden="1"/>
    <cellStyle name="Followed Hyperlink" xfId="2340" builtinId="9" hidden="1"/>
    <cellStyle name="Followed Hyperlink" xfId="2342" builtinId="9" hidden="1"/>
    <cellStyle name="Followed Hyperlink" xfId="2344" builtinId="9" hidden="1"/>
    <cellStyle name="Followed Hyperlink" xfId="2346" builtinId="9" hidden="1"/>
    <cellStyle name="Followed Hyperlink" xfId="2348" builtinId="9" hidden="1"/>
    <cellStyle name="Followed Hyperlink" xfId="2350" builtinId="9" hidden="1"/>
    <cellStyle name="Followed Hyperlink" xfId="2352" builtinId="9" hidden="1"/>
    <cellStyle name="Followed Hyperlink" xfId="2354" builtinId="9" hidden="1"/>
    <cellStyle name="Followed Hyperlink" xfId="2356" builtinId="9" hidden="1"/>
    <cellStyle name="Followed Hyperlink" xfId="2358" builtinId="9" hidden="1"/>
    <cellStyle name="Followed Hyperlink" xfId="2360" builtinId="9" hidden="1"/>
    <cellStyle name="Followed Hyperlink" xfId="2362" builtinId="9" hidden="1"/>
    <cellStyle name="Followed Hyperlink" xfId="2364" builtinId="9" hidden="1"/>
    <cellStyle name="Followed Hyperlink" xfId="2366" builtinId="9" hidden="1"/>
    <cellStyle name="Followed Hyperlink" xfId="2368" builtinId="9" hidden="1"/>
    <cellStyle name="Followed Hyperlink" xfId="2370" builtinId="9" hidden="1"/>
    <cellStyle name="Followed Hyperlink" xfId="2372" builtinId="9" hidden="1"/>
    <cellStyle name="Followed Hyperlink" xfId="2374" builtinId="9" hidden="1"/>
    <cellStyle name="Followed Hyperlink" xfId="2376" builtinId="9" hidden="1"/>
    <cellStyle name="Followed Hyperlink" xfId="2378" builtinId="9" hidden="1"/>
    <cellStyle name="Followed Hyperlink" xfId="2380" builtinId="9" hidden="1"/>
    <cellStyle name="Followed Hyperlink" xfId="2382" builtinId="9" hidden="1"/>
    <cellStyle name="Followed Hyperlink" xfId="2384" builtinId="9" hidden="1"/>
    <cellStyle name="Followed Hyperlink" xfId="2386" builtinId="9" hidden="1"/>
    <cellStyle name="Followed Hyperlink" xfId="2388" builtinId="9" hidden="1"/>
    <cellStyle name="Followed Hyperlink" xfId="2390" builtinId="9" hidden="1"/>
    <cellStyle name="Followed Hyperlink" xfId="2392" builtinId="9" hidden="1"/>
    <cellStyle name="Followed Hyperlink" xfId="2394" builtinId="9" hidden="1"/>
    <cellStyle name="Followed Hyperlink" xfId="2396" builtinId="9" hidden="1"/>
    <cellStyle name="Followed Hyperlink" xfId="2398" builtinId="9" hidden="1"/>
    <cellStyle name="Followed Hyperlink" xfId="2400" builtinId="9" hidden="1"/>
    <cellStyle name="Followed Hyperlink" xfId="2402" builtinId="9" hidden="1"/>
    <cellStyle name="Followed Hyperlink" xfId="2404" builtinId="9" hidden="1"/>
    <cellStyle name="Followed Hyperlink" xfId="2406" builtinId="9" hidden="1"/>
    <cellStyle name="Followed Hyperlink" xfId="2408" builtinId="9" hidden="1"/>
    <cellStyle name="Followed Hyperlink" xfId="2410" builtinId="9" hidden="1"/>
    <cellStyle name="Followed Hyperlink" xfId="2412" builtinId="9" hidden="1"/>
    <cellStyle name="Followed Hyperlink" xfId="2414" builtinId="9" hidden="1"/>
    <cellStyle name="Followed Hyperlink" xfId="2416" builtinId="9" hidden="1"/>
    <cellStyle name="Followed Hyperlink" xfId="2418" builtinId="9" hidden="1"/>
    <cellStyle name="Followed Hyperlink" xfId="242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1075" builtinId="8" hidden="1"/>
    <cellStyle name="Hyperlink" xfId="1077" builtinId="8" hidden="1"/>
    <cellStyle name="Hyperlink" xfId="1079" builtinId="8" hidden="1"/>
    <cellStyle name="Hyperlink" xfId="1081" builtinId="8" hidden="1"/>
    <cellStyle name="Hyperlink" xfId="1083" builtinId="8" hidden="1"/>
    <cellStyle name="Hyperlink" xfId="1085" builtinId="8" hidden="1"/>
    <cellStyle name="Hyperlink" xfId="1087" builtinId="8" hidden="1"/>
    <cellStyle name="Hyperlink" xfId="1089" builtinId="8" hidden="1"/>
    <cellStyle name="Hyperlink" xfId="1091" builtinId="8" hidden="1"/>
    <cellStyle name="Hyperlink" xfId="1093" builtinId="8" hidden="1"/>
    <cellStyle name="Hyperlink" xfId="1095" builtinId="8" hidden="1"/>
    <cellStyle name="Hyperlink" xfId="1097" builtinId="8" hidden="1"/>
    <cellStyle name="Hyperlink" xfId="1099" builtinId="8" hidden="1"/>
    <cellStyle name="Hyperlink" xfId="1101" builtinId="8" hidden="1"/>
    <cellStyle name="Hyperlink" xfId="1103" builtinId="8" hidden="1"/>
    <cellStyle name="Hyperlink" xfId="1105" builtinId="8" hidden="1"/>
    <cellStyle name="Hyperlink" xfId="1107" builtinId="8" hidden="1"/>
    <cellStyle name="Hyperlink" xfId="1109" builtinId="8" hidden="1"/>
    <cellStyle name="Hyperlink" xfId="1111" builtinId="8" hidden="1"/>
    <cellStyle name="Hyperlink" xfId="1113" builtinId="8" hidden="1"/>
    <cellStyle name="Hyperlink" xfId="1115" builtinId="8" hidden="1"/>
    <cellStyle name="Hyperlink" xfId="1117" builtinId="8" hidden="1"/>
    <cellStyle name="Hyperlink" xfId="1119" builtinId="8" hidden="1"/>
    <cellStyle name="Hyperlink" xfId="1121" builtinId="8" hidden="1"/>
    <cellStyle name="Hyperlink" xfId="1123" builtinId="8" hidden="1"/>
    <cellStyle name="Hyperlink" xfId="1125" builtinId="8" hidden="1"/>
    <cellStyle name="Hyperlink" xfId="1127" builtinId="8" hidden="1"/>
    <cellStyle name="Hyperlink" xfId="1129"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hidden="1"/>
    <cellStyle name="Hyperlink" xfId="1185" builtinId="8" hidden="1"/>
    <cellStyle name="Hyperlink" xfId="1187" builtinId="8" hidden="1"/>
    <cellStyle name="Hyperlink" xfId="1189" builtinId="8" hidden="1"/>
    <cellStyle name="Hyperlink" xfId="1191" builtinId="8" hidden="1"/>
    <cellStyle name="Hyperlink" xfId="1193" builtinId="8" hidden="1"/>
    <cellStyle name="Hyperlink" xfId="1195" builtinId="8" hidden="1"/>
    <cellStyle name="Hyperlink" xfId="1197" builtinId="8" hidden="1"/>
    <cellStyle name="Hyperlink" xfId="1199" builtinId="8" hidden="1"/>
    <cellStyle name="Hyperlink" xfId="1201" builtinId="8" hidden="1"/>
    <cellStyle name="Hyperlink" xfId="1203" builtinId="8" hidden="1"/>
    <cellStyle name="Hyperlink" xfId="1205" builtinId="8" hidden="1"/>
    <cellStyle name="Hyperlink" xfId="1207" builtinId="8" hidden="1"/>
    <cellStyle name="Hyperlink" xfId="1209" builtinId="8" hidden="1"/>
    <cellStyle name="Hyperlink" xfId="1211" builtinId="8" hidden="1"/>
    <cellStyle name="Hyperlink" xfId="1213" builtinId="8" hidden="1"/>
    <cellStyle name="Hyperlink" xfId="1215" builtinId="8" hidden="1"/>
    <cellStyle name="Hyperlink" xfId="1217" builtinId="8" hidden="1"/>
    <cellStyle name="Hyperlink" xfId="1219" builtinId="8" hidden="1"/>
    <cellStyle name="Hyperlink" xfId="1221" builtinId="8" hidden="1"/>
    <cellStyle name="Hyperlink" xfId="1223" builtinId="8" hidden="1"/>
    <cellStyle name="Hyperlink" xfId="1225" builtinId="8" hidden="1"/>
    <cellStyle name="Hyperlink" xfId="1227" builtinId="8" hidden="1"/>
    <cellStyle name="Hyperlink" xfId="1229" builtinId="8" hidden="1"/>
    <cellStyle name="Hyperlink" xfId="1231" builtinId="8" hidden="1"/>
    <cellStyle name="Hyperlink" xfId="1233" builtinId="8" hidden="1"/>
    <cellStyle name="Hyperlink" xfId="1235" builtinId="8" hidden="1"/>
    <cellStyle name="Hyperlink" xfId="1237" builtinId="8" hidden="1"/>
    <cellStyle name="Hyperlink" xfId="1239" builtinId="8" hidden="1"/>
    <cellStyle name="Hyperlink" xfId="1241" builtinId="8" hidden="1"/>
    <cellStyle name="Hyperlink" xfId="1243" builtinId="8" hidden="1"/>
    <cellStyle name="Hyperlink" xfId="1245" builtinId="8" hidden="1"/>
    <cellStyle name="Hyperlink" xfId="1247" builtinId="8" hidden="1"/>
    <cellStyle name="Hyperlink" xfId="1249" builtinId="8" hidden="1"/>
    <cellStyle name="Hyperlink" xfId="1251" builtinId="8" hidden="1"/>
    <cellStyle name="Hyperlink" xfId="1253" builtinId="8" hidden="1"/>
    <cellStyle name="Hyperlink" xfId="1255" builtinId="8" hidden="1"/>
    <cellStyle name="Hyperlink" xfId="1257" builtinId="8" hidden="1"/>
    <cellStyle name="Hyperlink" xfId="1259" builtinId="8" hidden="1"/>
    <cellStyle name="Hyperlink" xfId="1261" builtinId="8" hidden="1"/>
    <cellStyle name="Hyperlink" xfId="1263" builtinId="8" hidden="1"/>
    <cellStyle name="Hyperlink" xfId="1265" builtinId="8" hidden="1"/>
    <cellStyle name="Hyperlink" xfId="1267" builtinId="8" hidden="1"/>
    <cellStyle name="Hyperlink" xfId="1269" builtinId="8" hidden="1"/>
    <cellStyle name="Hyperlink" xfId="1271" builtinId="8" hidden="1"/>
    <cellStyle name="Hyperlink" xfId="1273" builtinId="8" hidden="1"/>
    <cellStyle name="Hyperlink" xfId="1275" builtinId="8" hidden="1"/>
    <cellStyle name="Hyperlink" xfId="1277" builtinId="8" hidden="1"/>
    <cellStyle name="Hyperlink" xfId="1279" builtinId="8" hidden="1"/>
    <cellStyle name="Hyperlink" xfId="1281" builtinId="8" hidden="1"/>
    <cellStyle name="Hyperlink" xfId="1283" builtinId="8" hidden="1"/>
    <cellStyle name="Hyperlink" xfId="1285" builtinId="8" hidden="1"/>
    <cellStyle name="Hyperlink" xfId="1287" builtinId="8" hidden="1"/>
    <cellStyle name="Hyperlink" xfId="1289" builtinId="8" hidden="1"/>
    <cellStyle name="Hyperlink" xfId="1291" builtinId="8" hidden="1"/>
    <cellStyle name="Hyperlink" xfId="1293" builtinId="8" hidden="1"/>
    <cellStyle name="Hyperlink" xfId="1295" builtinId="8" hidden="1"/>
    <cellStyle name="Hyperlink" xfId="1297" builtinId="8" hidden="1"/>
    <cellStyle name="Hyperlink" xfId="1299" builtinId="8" hidden="1"/>
    <cellStyle name="Hyperlink" xfId="1301" builtinId="8" hidden="1"/>
    <cellStyle name="Hyperlink" xfId="1303" builtinId="8" hidden="1"/>
    <cellStyle name="Hyperlink" xfId="1305" builtinId="8" hidden="1"/>
    <cellStyle name="Hyperlink" xfId="1307" builtinId="8" hidden="1"/>
    <cellStyle name="Hyperlink" xfId="1309" builtinId="8" hidden="1"/>
    <cellStyle name="Hyperlink" xfId="1311" builtinId="8" hidden="1"/>
    <cellStyle name="Hyperlink" xfId="1313" builtinId="8" hidden="1"/>
    <cellStyle name="Hyperlink" xfId="1315" builtinId="8" hidden="1"/>
    <cellStyle name="Hyperlink" xfId="1317" builtinId="8" hidden="1"/>
    <cellStyle name="Hyperlink" xfId="1319" builtinId="8" hidden="1"/>
    <cellStyle name="Hyperlink" xfId="1321" builtinId="8" hidden="1"/>
    <cellStyle name="Hyperlink" xfId="1323" builtinId="8" hidden="1"/>
    <cellStyle name="Hyperlink" xfId="1325" builtinId="8" hidden="1"/>
    <cellStyle name="Hyperlink" xfId="1327" builtinId="8" hidden="1"/>
    <cellStyle name="Hyperlink" xfId="1329" builtinId="8" hidden="1"/>
    <cellStyle name="Hyperlink" xfId="1331" builtinId="8" hidden="1"/>
    <cellStyle name="Hyperlink" xfId="1333" builtinId="8" hidden="1"/>
    <cellStyle name="Hyperlink" xfId="1335" builtinId="8" hidden="1"/>
    <cellStyle name="Hyperlink" xfId="1337" builtinId="8" hidden="1"/>
    <cellStyle name="Hyperlink" xfId="1339" builtinId="8" hidden="1"/>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xfId="1355" builtinId="8" hidden="1"/>
    <cellStyle name="Hyperlink" xfId="1357" builtinId="8" hidden="1"/>
    <cellStyle name="Hyperlink" xfId="1359" builtinId="8" hidden="1"/>
    <cellStyle name="Hyperlink" xfId="1361" builtinId="8" hidden="1"/>
    <cellStyle name="Hyperlink" xfId="1363" builtinId="8" hidden="1"/>
    <cellStyle name="Hyperlink" xfId="1365" builtinId="8" hidden="1"/>
    <cellStyle name="Hyperlink" xfId="1367" builtinId="8" hidden="1"/>
    <cellStyle name="Hyperlink" xfId="1369" builtinId="8" hidden="1"/>
    <cellStyle name="Hyperlink" xfId="1371" builtinId="8" hidden="1"/>
    <cellStyle name="Hyperlink" xfId="1373" builtinId="8" hidden="1"/>
    <cellStyle name="Hyperlink" xfId="1375" builtinId="8" hidden="1"/>
    <cellStyle name="Hyperlink" xfId="1377" builtinId="8" hidden="1"/>
    <cellStyle name="Hyperlink" xfId="1379" builtinId="8" hidden="1"/>
    <cellStyle name="Hyperlink" xfId="1381" builtinId="8" hidden="1"/>
    <cellStyle name="Hyperlink" xfId="1383" builtinId="8" hidden="1"/>
    <cellStyle name="Hyperlink" xfId="1385" builtinId="8" hidden="1"/>
    <cellStyle name="Hyperlink" xfId="1387" builtinId="8" hidden="1"/>
    <cellStyle name="Hyperlink" xfId="1389" builtinId="8" hidden="1"/>
    <cellStyle name="Hyperlink" xfId="1391" builtinId="8" hidden="1"/>
    <cellStyle name="Hyperlink" xfId="1393" builtinId="8" hidden="1"/>
    <cellStyle name="Hyperlink" xfId="1395" builtinId="8" hidden="1"/>
    <cellStyle name="Hyperlink" xfId="1397" builtinId="8" hidden="1"/>
    <cellStyle name="Hyperlink" xfId="1399" builtinId="8" hidden="1"/>
    <cellStyle name="Hyperlink" xfId="1401" builtinId="8" hidden="1"/>
    <cellStyle name="Hyperlink" xfId="1403" builtinId="8" hidden="1"/>
    <cellStyle name="Hyperlink" xfId="1405" builtinId="8" hidden="1"/>
    <cellStyle name="Hyperlink" xfId="1407" builtinId="8" hidden="1"/>
    <cellStyle name="Hyperlink" xfId="1409" builtinId="8" hidden="1"/>
    <cellStyle name="Hyperlink" xfId="1411" builtinId="8" hidden="1"/>
    <cellStyle name="Hyperlink" xfId="1413" builtinId="8" hidden="1"/>
    <cellStyle name="Hyperlink" xfId="1415" builtinId="8" hidden="1"/>
    <cellStyle name="Hyperlink" xfId="1417" builtinId="8" hidden="1"/>
    <cellStyle name="Hyperlink" xfId="1419" builtinId="8" hidden="1"/>
    <cellStyle name="Hyperlink" xfId="1421" builtinId="8" hidden="1"/>
    <cellStyle name="Hyperlink" xfId="1423" builtinId="8" hidden="1"/>
    <cellStyle name="Hyperlink" xfId="1425" builtinId="8" hidden="1"/>
    <cellStyle name="Hyperlink" xfId="1427" builtinId="8" hidden="1"/>
    <cellStyle name="Hyperlink" xfId="1429" builtinId="8" hidden="1"/>
    <cellStyle name="Hyperlink" xfId="1431" builtinId="8" hidden="1"/>
    <cellStyle name="Hyperlink" xfId="1433" builtinId="8" hidden="1"/>
    <cellStyle name="Hyperlink" xfId="1435" builtinId="8" hidden="1"/>
    <cellStyle name="Hyperlink" xfId="1437" builtinId="8" hidden="1"/>
    <cellStyle name="Hyperlink" xfId="1439" builtinId="8" hidden="1"/>
    <cellStyle name="Hyperlink" xfId="1441" builtinId="8" hidden="1"/>
    <cellStyle name="Hyperlink" xfId="1443" builtinId="8" hidden="1"/>
    <cellStyle name="Hyperlink" xfId="1445" builtinId="8" hidden="1"/>
    <cellStyle name="Hyperlink" xfId="1447" builtinId="8" hidden="1"/>
    <cellStyle name="Hyperlink" xfId="1449" builtinId="8" hidden="1"/>
    <cellStyle name="Hyperlink" xfId="1451" builtinId="8" hidden="1"/>
    <cellStyle name="Hyperlink" xfId="1453" builtinId="8" hidden="1"/>
    <cellStyle name="Hyperlink" xfId="1455" builtinId="8" hidden="1"/>
    <cellStyle name="Hyperlink" xfId="1457" builtinId="8" hidden="1"/>
    <cellStyle name="Hyperlink" xfId="1459" builtinId="8" hidden="1"/>
    <cellStyle name="Hyperlink" xfId="1461" builtinId="8" hidden="1"/>
    <cellStyle name="Hyperlink" xfId="1463" builtinId="8" hidden="1"/>
    <cellStyle name="Hyperlink" xfId="1465" builtinId="8" hidden="1"/>
    <cellStyle name="Hyperlink" xfId="1467" builtinId="8" hidden="1"/>
    <cellStyle name="Hyperlink" xfId="1469" builtinId="8" hidden="1"/>
    <cellStyle name="Hyperlink" xfId="1471" builtinId="8" hidden="1"/>
    <cellStyle name="Hyperlink" xfId="1473" builtinId="8" hidden="1"/>
    <cellStyle name="Hyperlink" xfId="1475" builtinId="8" hidden="1"/>
    <cellStyle name="Hyperlink" xfId="1477" builtinId="8" hidden="1"/>
    <cellStyle name="Hyperlink" xfId="1479" builtinId="8" hidden="1"/>
    <cellStyle name="Hyperlink" xfId="1481" builtinId="8" hidden="1"/>
    <cellStyle name="Hyperlink" xfId="1483" builtinId="8" hidden="1"/>
    <cellStyle name="Hyperlink" xfId="1485" builtinId="8" hidden="1"/>
    <cellStyle name="Hyperlink" xfId="1487" builtinId="8" hidden="1"/>
    <cellStyle name="Hyperlink" xfId="1489" builtinId="8" hidden="1"/>
    <cellStyle name="Hyperlink" xfId="1491" builtinId="8" hidden="1"/>
    <cellStyle name="Hyperlink" xfId="1493" builtinId="8" hidden="1"/>
    <cellStyle name="Hyperlink" xfId="1495" builtinId="8" hidden="1"/>
    <cellStyle name="Hyperlink" xfId="1497" builtinId="8" hidden="1"/>
    <cellStyle name="Hyperlink" xfId="1499" builtinId="8" hidden="1"/>
    <cellStyle name="Hyperlink" xfId="1501" builtinId="8" hidden="1"/>
    <cellStyle name="Hyperlink" xfId="1503" builtinId="8" hidden="1"/>
    <cellStyle name="Hyperlink" xfId="1505" builtinId="8" hidden="1"/>
    <cellStyle name="Hyperlink" xfId="1507" builtinId="8" hidden="1"/>
    <cellStyle name="Hyperlink" xfId="1509" builtinId="8" hidden="1"/>
    <cellStyle name="Hyperlink" xfId="1511" builtinId="8" hidden="1"/>
    <cellStyle name="Hyperlink" xfId="1513" builtinId="8" hidden="1"/>
    <cellStyle name="Hyperlink" xfId="1515" builtinId="8" hidden="1"/>
    <cellStyle name="Hyperlink" xfId="1517" builtinId="8" hidden="1"/>
    <cellStyle name="Hyperlink" xfId="1519" builtinId="8" hidden="1"/>
    <cellStyle name="Hyperlink" xfId="1521" builtinId="8" hidden="1"/>
    <cellStyle name="Hyperlink" xfId="1523" builtinId="8" hidden="1"/>
    <cellStyle name="Hyperlink" xfId="1525" builtinId="8" hidden="1"/>
    <cellStyle name="Hyperlink" xfId="1527" builtinId="8" hidden="1"/>
    <cellStyle name="Hyperlink" xfId="1529" builtinId="8" hidden="1"/>
    <cellStyle name="Hyperlink" xfId="1531" builtinId="8" hidden="1"/>
    <cellStyle name="Hyperlink" xfId="1533" builtinId="8" hidden="1"/>
    <cellStyle name="Hyperlink" xfId="1535" builtinId="8" hidden="1"/>
    <cellStyle name="Hyperlink" xfId="1537" builtinId="8" hidden="1"/>
    <cellStyle name="Hyperlink" xfId="1539" builtinId="8" hidden="1"/>
    <cellStyle name="Hyperlink" xfId="1541" builtinId="8" hidden="1"/>
    <cellStyle name="Hyperlink" xfId="1543" builtinId="8" hidden="1"/>
    <cellStyle name="Hyperlink" xfId="1545" builtinId="8" hidden="1"/>
    <cellStyle name="Hyperlink" xfId="1547" builtinId="8" hidden="1"/>
    <cellStyle name="Hyperlink" xfId="1549" builtinId="8" hidden="1"/>
    <cellStyle name="Hyperlink" xfId="1551" builtinId="8" hidden="1"/>
    <cellStyle name="Hyperlink" xfId="1553" builtinId="8" hidden="1"/>
    <cellStyle name="Hyperlink" xfId="1555" builtinId="8" hidden="1"/>
    <cellStyle name="Hyperlink" xfId="1557" builtinId="8" hidden="1"/>
    <cellStyle name="Hyperlink" xfId="1559" builtinId="8" hidden="1"/>
    <cellStyle name="Hyperlink" xfId="1561" builtinId="8" hidden="1"/>
    <cellStyle name="Hyperlink" xfId="1563" builtinId="8" hidden="1"/>
    <cellStyle name="Hyperlink" xfId="1565" builtinId="8" hidden="1"/>
    <cellStyle name="Hyperlink" xfId="1567" builtinId="8" hidden="1"/>
    <cellStyle name="Hyperlink" xfId="1569" builtinId="8" hidden="1"/>
    <cellStyle name="Hyperlink" xfId="1571" builtinId="8" hidden="1"/>
    <cellStyle name="Hyperlink" xfId="1573" builtinId="8" hidden="1"/>
    <cellStyle name="Hyperlink" xfId="1575" builtinId="8" hidden="1"/>
    <cellStyle name="Hyperlink" xfId="1577" builtinId="8" hidden="1"/>
    <cellStyle name="Hyperlink" xfId="1579" builtinId="8" hidden="1"/>
    <cellStyle name="Hyperlink" xfId="1581" builtinId="8" hidden="1"/>
    <cellStyle name="Hyperlink" xfId="1583" builtinId="8" hidden="1"/>
    <cellStyle name="Hyperlink" xfId="1585" builtinId="8" hidden="1"/>
    <cellStyle name="Hyperlink" xfId="1587" builtinId="8" hidden="1"/>
    <cellStyle name="Hyperlink" xfId="1589" builtinId="8" hidden="1"/>
    <cellStyle name="Hyperlink" xfId="1591" builtinId="8" hidden="1"/>
    <cellStyle name="Hyperlink" xfId="1593" builtinId="8" hidden="1"/>
    <cellStyle name="Hyperlink" xfId="1595" builtinId="8" hidden="1"/>
    <cellStyle name="Hyperlink" xfId="1597" builtinId="8" hidden="1"/>
    <cellStyle name="Hyperlink" xfId="1599" builtinId="8" hidden="1"/>
    <cellStyle name="Hyperlink" xfId="1601" builtinId="8" hidden="1"/>
    <cellStyle name="Hyperlink" xfId="1603" builtinId="8" hidden="1"/>
    <cellStyle name="Hyperlink" xfId="1605" builtinId="8" hidden="1"/>
    <cellStyle name="Hyperlink" xfId="1607" builtinId="8" hidden="1"/>
    <cellStyle name="Hyperlink" xfId="1609" builtinId="8" hidden="1"/>
    <cellStyle name="Hyperlink" xfId="1611" builtinId="8" hidden="1"/>
    <cellStyle name="Hyperlink" xfId="1613" builtinId="8" hidden="1"/>
    <cellStyle name="Hyperlink" xfId="1615" builtinId="8" hidden="1"/>
    <cellStyle name="Hyperlink" xfId="1617" builtinId="8" hidden="1"/>
    <cellStyle name="Hyperlink" xfId="1619" builtinId="8" hidden="1"/>
    <cellStyle name="Hyperlink" xfId="1621" builtinId="8" hidden="1"/>
    <cellStyle name="Hyperlink" xfId="1623" builtinId="8" hidden="1"/>
    <cellStyle name="Hyperlink" xfId="1625" builtinId="8" hidden="1"/>
    <cellStyle name="Hyperlink" xfId="1627" builtinId="8" hidden="1"/>
    <cellStyle name="Hyperlink" xfId="1629" builtinId="8" hidden="1"/>
    <cellStyle name="Hyperlink" xfId="1631" builtinId="8" hidden="1"/>
    <cellStyle name="Hyperlink" xfId="1633" builtinId="8" hidden="1"/>
    <cellStyle name="Hyperlink" xfId="1635" builtinId="8" hidden="1"/>
    <cellStyle name="Hyperlink" xfId="1637" builtinId="8" hidden="1"/>
    <cellStyle name="Hyperlink" xfId="1639" builtinId="8" hidden="1"/>
    <cellStyle name="Hyperlink" xfId="1641" builtinId="8" hidden="1"/>
    <cellStyle name="Hyperlink" xfId="1643" builtinId="8" hidden="1"/>
    <cellStyle name="Hyperlink" xfId="1645" builtinId="8" hidden="1"/>
    <cellStyle name="Hyperlink" xfId="1647" builtinId="8" hidden="1"/>
    <cellStyle name="Hyperlink" xfId="1649" builtinId="8" hidden="1"/>
    <cellStyle name="Hyperlink" xfId="1651" builtinId="8" hidden="1"/>
    <cellStyle name="Hyperlink" xfId="1653" builtinId="8" hidden="1"/>
    <cellStyle name="Hyperlink" xfId="1655" builtinId="8" hidden="1"/>
    <cellStyle name="Hyperlink" xfId="1657" builtinId="8" hidden="1"/>
    <cellStyle name="Hyperlink" xfId="1659" builtinId="8" hidden="1"/>
    <cellStyle name="Hyperlink" xfId="1661" builtinId="8" hidden="1"/>
    <cellStyle name="Hyperlink" xfId="1663" builtinId="8" hidden="1"/>
    <cellStyle name="Hyperlink" xfId="1665" builtinId="8" hidden="1"/>
    <cellStyle name="Hyperlink" xfId="1667" builtinId="8" hidden="1"/>
    <cellStyle name="Hyperlink" xfId="1669" builtinId="8" hidden="1"/>
    <cellStyle name="Hyperlink" xfId="1671" builtinId="8" hidden="1"/>
    <cellStyle name="Hyperlink" xfId="1673" builtinId="8" hidden="1"/>
    <cellStyle name="Hyperlink" xfId="1675" builtinId="8" hidden="1"/>
    <cellStyle name="Hyperlink" xfId="1677" builtinId="8" hidden="1"/>
    <cellStyle name="Hyperlink" xfId="1679" builtinId="8" hidden="1"/>
    <cellStyle name="Hyperlink" xfId="1681" builtinId="8" hidden="1"/>
    <cellStyle name="Hyperlink" xfId="1683" builtinId="8" hidden="1"/>
    <cellStyle name="Hyperlink" xfId="1685" builtinId="8" hidden="1"/>
    <cellStyle name="Hyperlink" xfId="1687" builtinId="8" hidden="1"/>
    <cellStyle name="Hyperlink" xfId="1689" builtinId="8" hidden="1"/>
    <cellStyle name="Hyperlink" xfId="1691" builtinId="8" hidden="1"/>
    <cellStyle name="Hyperlink" xfId="1693" builtinId="8" hidden="1"/>
    <cellStyle name="Hyperlink" xfId="1695" builtinId="8" hidden="1"/>
    <cellStyle name="Hyperlink" xfId="1697" builtinId="8" hidden="1"/>
    <cellStyle name="Hyperlink" xfId="1699" builtinId="8" hidden="1"/>
    <cellStyle name="Hyperlink" xfId="1701" builtinId="8" hidden="1"/>
    <cellStyle name="Hyperlink" xfId="1703" builtinId="8" hidden="1"/>
    <cellStyle name="Hyperlink" xfId="1705" builtinId="8" hidden="1"/>
    <cellStyle name="Hyperlink" xfId="1707" builtinId="8" hidden="1"/>
    <cellStyle name="Hyperlink" xfId="1709" builtinId="8" hidden="1"/>
    <cellStyle name="Hyperlink" xfId="1711" builtinId="8" hidden="1"/>
    <cellStyle name="Hyperlink" xfId="1713" builtinId="8" hidden="1"/>
    <cellStyle name="Hyperlink" xfId="1715" builtinId="8" hidden="1"/>
    <cellStyle name="Hyperlink" xfId="1717" builtinId="8" hidden="1"/>
    <cellStyle name="Hyperlink" xfId="1719" builtinId="8" hidden="1"/>
    <cellStyle name="Hyperlink" xfId="1721" builtinId="8" hidden="1"/>
    <cellStyle name="Hyperlink" xfId="1723" builtinId="8" hidden="1"/>
    <cellStyle name="Hyperlink" xfId="1725" builtinId="8" hidden="1"/>
    <cellStyle name="Hyperlink" xfId="1727" builtinId="8" hidden="1"/>
    <cellStyle name="Hyperlink" xfId="1729" builtinId="8" hidden="1"/>
    <cellStyle name="Hyperlink" xfId="1731" builtinId="8" hidden="1"/>
    <cellStyle name="Hyperlink" xfId="1733" builtinId="8" hidden="1"/>
    <cellStyle name="Hyperlink" xfId="1735" builtinId="8" hidden="1"/>
    <cellStyle name="Hyperlink" xfId="1737" builtinId="8" hidden="1"/>
    <cellStyle name="Hyperlink" xfId="1739" builtinId="8" hidden="1"/>
    <cellStyle name="Hyperlink" xfId="1741" builtinId="8" hidden="1"/>
    <cellStyle name="Hyperlink" xfId="1743" builtinId="8" hidden="1"/>
    <cellStyle name="Hyperlink" xfId="1745" builtinId="8" hidden="1"/>
    <cellStyle name="Hyperlink" xfId="1747" builtinId="8" hidden="1"/>
    <cellStyle name="Hyperlink" xfId="1749" builtinId="8" hidden="1"/>
    <cellStyle name="Hyperlink" xfId="1751" builtinId="8" hidden="1"/>
    <cellStyle name="Hyperlink" xfId="1753" builtinId="8" hidden="1"/>
    <cellStyle name="Hyperlink" xfId="1755" builtinId="8" hidden="1"/>
    <cellStyle name="Hyperlink" xfId="1757" builtinId="8" hidden="1"/>
    <cellStyle name="Hyperlink" xfId="1759" builtinId="8" hidden="1"/>
    <cellStyle name="Hyperlink" xfId="1761" builtinId="8" hidden="1"/>
    <cellStyle name="Hyperlink" xfId="1763" builtinId="8" hidden="1"/>
    <cellStyle name="Hyperlink" xfId="1765" builtinId="8" hidden="1"/>
    <cellStyle name="Hyperlink" xfId="1767" builtinId="8" hidden="1"/>
    <cellStyle name="Hyperlink" xfId="1769" builtinId="8" hidden="1"/>
    <cellStyle name="Hyperlink" xfId="1771" builtinId="8" hidden="1"/>
    <cellStyle name="Hyperlink" xfId="1773" builtinId="8" hidden="1"/>
    <cellStyle name="Hyperlink" xfId="1775" builtinId="8" hidden="1"/>
    <cellStyle name="Hyperlink" xfId="1777" builtinId="8" hidden="1"/>
    <cellStyle name="Hyperlink" xfId="1779" builtinId="8" hidden="1"/>
    <cellStyle name="Hyperlink" xfId="1781" builtinId="8" hidden="1"/>
    <cellStyle name="Hyperlink" xfId="1783" builtinId="8" hidden="1"/>
    <cellStyle name="Hyperlink" xfId="1785" builtinId="8" hidden="1"/>
    <cellStyle name="Hyperlink" xfId="1787" builtinId="8" hidden="1"/>
    <cellStyle name="Hyperlink" xfId="1789" builtinId="8" hidden="1"/>
    <cellStyle name="Hyperlink" xfId="1791" builtinId="8" hidden="1"/>
    <cellStyle name="Hyperlink" xfId="1793" builtinId="8" hidden="1"/>
    <cellStyle name="Hyperlink" xfId="1795" builtinId="8" hidden="1"/>
    <cellStyle name="Hyperlink" xfId="1797" builtinId="8" hidden="1"/>
    <cellStyle name="Hyperlink" xfId="1799" builtinId="8" hidden="1"/>
    <cellStyle name="Hyperlink" xfId="1801" builtinId="8" hidden="1"/>
    <cellStyle name="Hyperlink" xfId="1803" builtinId="8" hidden="1"/>
    <cellStyle name="Hyperlink" xfId="1805" builtinId="8" hidden="1"/>
    <cellStyle name="Hyperlink" xfId="1807" builtinId="8" hidden="1"/>
    <cellStyle name="Hyperlink" xfId="1809" builtinId="8" hidden="1"/>
    <cellStyle name="Hyperlink" xfId="1811" builtinId="8" hidden="1"/>
    <cellStyle name="Hyperlink" xfId="1813" builtinId="8" hidden="1"/>
    <cellStyle name="Hyperlink" xfId="1815" builtinId="8" hidden="1"/>
    <cellStyle name="Hyperlink" xfId="1817" builtinId="8" hidden="1"/>
    <cellStyle name="Hyperlink" xfId="1819" builtinId="8" hidden="1"/>
    <cellStyle name="Hyperlink" xfId="1821" builtinId="8" hidden="1"/>
    <cellStyle name="Hyperlink" xfId="1823" builtinId="8" hidden="1"/>
    <cellStyle name="Hyperlink" xfId="1825" builtinId="8" hidden="1"/>
    <cellStyle name="Hyperlink" xfId="1827" builtinId="8" hidden="1"/>
    <cellStyle name="Hyperlink" xfId="1829" builtinId="8" hidden="1"/>
    <cellStyle name="Hyperlink" xfId="1831" builtinId="8" hidden="1"/>
    <cellStyle name="Hyperlink" xfId="1833" builtinId="8" hidden="1"/>
    <cellStyle name="Hyperlink" xfId="1835" builtinId="8" hidden="1"/>
    <cellStyle name="Hyperlink" xfId="1837" builtinId="8" hidden="1"/>
    <cellStyle name="Hyperlink" xfId="1839" builtinId="8" hidden="1"/>
    <cellStyle name="Hyperlink" xfId="1841" builtinId="8" hidden="1"/>
    <cellStyle name="Hyperlink" xfId="1843" builtinId="8" hidden="1"/>
    <cellStyle name="Hyperlink" xfId="1845" builtinId="8" hidden="1"/>
    <cellStyle name="Hyperlink" xfId="1847" builtinId="8" hidden="1"/>
    <cellStyle name="Hyperlink" xfId="1849" builtinId="8" hidden="1"/>
    <cellStyle name="Hyperlink" xfId="1851" builtinId="8" hidden="1"/>
    <cellStyle name="Hyperlink" xfId="1853" builtinId="8" hidden="1"/>
    <cellStyle name="Hyperlink" xfId="1855" builtinId="8" hidden="1"/>
    <cellStyle name="Hyperlink" xfId="1857" builtinId="8" hidden="1"/>
    <cellStyle name="Hyperlink" xfId="1859" builtinId="8" hidden="1"/>
    <cellStyle name="Hyperlink" xfId="1861" builtinId="8" hidden="1"/>
    <cellStyle name="Hyperlink" xfId="1863" builtinId="8" hidden="1"/>
    <cellStyle name="Hyperlink" xfId="1865" builtinId="8" hidden="1"/>
    <cellStyle name="Hyperlink" xfId="1867" builtinId="8" hidden="1"/>
    <cellStyle name="Hyperlink" xfId="1869" builtinId="8" hidden="1"/>
    <cellStyle name="Hyperlink" xfId="1871" builtinId="8" hidden="1"/>
    <cellStyle name="Hyperlink" xfId="1873" builtinId="8" hidden="1"/>
    <cellStyle name="Hyperlink" xfId="1875" builtinId="8" hidden="1"/>
    <cellStyle name="Hyperlink" xfId="1877" builtinId="8" hidden="1"/>
    <cellStyle name="Hyperlink" xfId="1879" builtinId="8" hidden="1"/>
    <cellStyle name="Hyperlink" xfId="1881" builtinId="8" hidden="1"/>
    <cellStyle name="Hyperlink" xfId="1883" builtinId="8" hidden="1"/>
    <cellStyle name="Hyperlink" xfId="1885" builtinId="8" hidden="1"/>
    <cellStyle name="Hyperlink" xfId="1887" builtinId="8" hidden="1"/>
    <cellStyle name="Hyperlink" xfId="1889" builtinId="8" hidden="1"/>
    <cellStyle name="Hyperlink" xfId="1891" builtinId="8" hidden="1"/>
    <cellStyle name="Hyperlink" xfId="1893" builtinId="8" hidden="1"/>
    <cellStyle name="Hyperlink" xfId="1895" builtinId="8" hidden="1"/>
    <cellStyle name="Hyperlink" xfId="1897" builtinId="8" hidden="1"/>
    <cellStyle name="Hyperlink" xfId="1899" builtinId="8" hidden="1"/>
    <cellStyle name="Hyperlink" xfId="1901" builtinId="8" hidden="1"/>
    <cellStyle name="Hyperlink" xfId="1903" builtinId="8" hidden="1"/>
    <cellStyle name="Hyperlink" xfId="1905" builtinId="8" hidden="1"/>
    <cellStyle name="Hyperlink" xfId="1907" builtinId="8" hidden="1"/>
    <cellStyle name="Hyperlink" xfId="1909" builtinId="8" hidden="1"/>
    <cellStyle name="Hyperlink" xfId="1911" builtinId="8" hidden="1"/>
    <cellStyle name="Hyperlink" xfId="1913" builtinId="8" hidden="1"/>
    <cellStyle name="Hyperlink" xfId="1915" builtinId="8" hidden="1"/>
    <cellStyle name="Hyperlink" xfId="1917" builtinId="8" hidden="1"/>
    <cellStyle name="Hyperlink" xfId="1919" builtinId="8" hidden="1"/>
    <cellStyle name="Hyperlink" xfId="1921" builtinId="8" hidden="1"/>
    <cellStyle name="Hyperlink" xfId="1923" builtinId="8" hidden="1"/>
    <cellStyle name="Hyperlink" xfId="1925" builtinId="8" hidden="1"/>
    <cellStyle name="Hyperlink" xfId="1927" builtinId="8" hidden="1"/>
    <cellStyle name="Hyperlink" xfId="1929" builtinId="8" hidden="1"/>
    <cellStyle name="Hyperlink" xfId="1931" builtinId="8" hidden="1"/>
    <cellStyle name="Hyperlink" xfId="1933" builtinId="8" hidden="1"/>
    <cellStyle name="Hyperlink" xfId="1935" builtinId="8" hidden="1"/>
    <cellStyle name="Hyperlink" xfId="1937" builtinId="8" hidden="1"/>
    <cellStyle name="Hyperlink" xfId="1939" builtinId="8" hidden="1"/>
    <cellStyle name="Hyperlink" xfId="1941" builtinId="8" hidden="1"/>
    <cellStyle name="Hyperlink" xfId="1943" builtinId="8" hidden="1"/>
    <cellStyle name="Hyperlink" xfId="1945" builtinId="8" hidden="1"/>
    <cellStyle name="Hyperlink" xfId="1947" builtinId="8" hidden="1"/>
    <cellStyle name="Hyperlink" xfId="1949" builtinId="8" hidden="1"/>
    <cellStyle name="Hyperlink" xfId="1951" builtinId="8" hidden="1"/>
    <cellStyle name="Hyperlink" xfId="1953" builtinId="8" hidden="1"/>
    <cellStyle name="Hyperlink" xfId="1955" builtinId="8" hidden="1"/>
    <cellStyle name="Hyperlink" xfId="1957" builtinId="8" hidden="1"/>
    <cellStyle name="Hyperlink" xfId="1959" builtinId="8" hidden="1"/>
    <cellStyle name="Hyperlink" xfId="1961" builtinId="8" hidden="1"/>
    <cellStyle name="Hyperlink" xfId="1963" builtinId="8" hidden="1"/>
    <cellStyle name="Hyperlink" xfId="1965" builtinId="8" hidden="1"/>
    <cellStyle name="Hyperlink" xfId="1967" builtinId="8" hidden="1"/>
    <cellStyle name="Hyperlink" xfId="1969" builtinId="8" hidden="1"/>
    <cellStyle name="Hyperlink" xfId="1971" builtinId="8" hidden="1"/>
    <cellStyle name="Hyperlink" xfId="1973" builtinId="8" hidden="1"/>
    <cellStyle name="Hyperlink" xfId="1975" builtinId="8" hidden="1"/>
    <cellStyle name="Hyperlink" xfId="1977" builtinId="8" hidden="1"/>
    <cellStyle name="Hyperlink" xfId="1979" builtinId="8" hidden="1"/>
    <cellStyle name="Hyperlink" xfId="1981" builtinId="8" hidden="1"/>
    <cellStyle name="Hyperlink" xfId="1983" builtinId="8" hidden="1"/>
    <cellStyle name="Hyperlink" xfId="1985" builtinId="8" hidden="1"/>
    <cellStyle name="Hyperlink" xfId="1987" builtinId="8" hidden="1"/>
    <cellStyle name="Hyperlink" xfId="1989" builtinId="8" hidden="1"/>
    <cellStyle name="Hyperlink" xfId="1991" builtinId="8" hidden="1"/>
    <cellStyle name="Hyperlink" xfId="1993" builtinId="8" hidden="1"/>
    <cellStyle name="Hyperlink" xfId="1995" builtinId="8" hidden="1"/>
    <cellStyle name="Hyperlink" xfId="1997" builtinId="8" hidden="1"/>
    <cellStyle name="Hyperlink" xfId="1999" builtinId="8" hidden="1"/>
    <cellStyle name="Hyperlink" xfId="2001" builtinId="8" hidden="1"/>
    <cellStyle name="Hyperlink" xfId="2003" builtinId="8" hidden="1"/>
    <cellStyle name="Hyperlink" xfId="2005" builtinId="8" hidden="1"/>
    <cellStyle name="Hyperlink" xfId="2007" builtinId="8" hidden="1"/>
    <cellStyle name="Hyperlink" xfId="2009" builtinId="8" hidden="1"/>
    <cellStyle name="Hyperlink" xfId="2011" builtinId="8" hidden="1"/>
    <cellStyle name="Hyperlink" xfId="2013" builtinId="8" hidden="1"/>
    <cellStyle name="Hyperlink" xfId="2015" builtinId="8" hidden="1"/>
    <cellStyle name="Hyperlink" xfId="2017" builtinId="8" hidden="1"/>
    <cellStyle name="Hyperlink" xfId="2019" builtinId="8" hidden="1"/>
    <cellStyle name="Hyperlink" xfId="2021" builtinId="8" hidden="1"/>
    <cellStyle name="Hyperlink" xfId="2023" builtinId="8" hidden="1"/>
    <cellStyle name="Hyperlink" xfId="2025" builtinId="8" hidden="1"/>
    <cellStyle name="Hyperlink" xfId="2027" builtinId="8" hidden="1"/>
    <cellStyle name="Hyperlink" xfId="2029" builtinId="8" hidden="1"/>
    <cellStyle name="Hyperlink" xfId="2031" builtinId="8" hidden="1"/>
    <cellStyle name="Hyperlink" xfId="2033" builtinId="8" hidden="1"/>
    <cellStyle name="Hyperlink" xfId="2035" builtinId="8" hidden="1"/>
    <cellStyle name="Hyperlink" xfId="2037" builtinId="8" hidden="1"/>
    <cellStyle name="Hyperlink" xfId="2039" builtinId="8" hidden="1"/>
    <cellStyle name="Hyperlink" xfId="2041" builtinId="8" hidden="1"/>
    <cellStyle name="Hyperlink" xfId="2043" builtinId="8" hidden="1"/>
    <cellStyle name="Hyperlink" xfId="2045" builtinId="8" hidden="1"/>
    <cellStyle name="Hyperlink" xfId="2047" builtinId="8" hidden="1"/>
    <cellStyle name="Hyperlink" xfId="2049" builtinId="8" hidden="1"/>
    <cellStyle name="Hyperlink" xfId="2051" builtinId="8" hidden="1"/>
    <cellStyle name="Hyperlink" xfId="2053" builtinId="8" hidden="1"/>
    <cellStyle name="Hyperlink" xfId="2055" builtinId="8" hidden="1"/>
    <cellStyle name="Hyperlink" xfId="2057" builtinId="8" hidden="1"/>
    <cellStyle name="Hyperlink" xfId="2059" builtinId="8" hidden="1"/>
    <cellStyle name="Hyperlink" xfId="2061" builtinId="8" hidden="1"/>
    <cellStyle name="Hyperlink" xfId="2063" builtinId="8" hidden="1"/>
    <cellStyle name="Hyperlink" xfId="2065" builtinId="8" hidden="1"/>
    <cellStyle name="Hyperlink" xfId="2067" builtinId="8" hidden="1"/>
    <cellStyle name="Hyperlink" xfId="2069" builtinId="8" hidden="1"/>
    <cellStyle name="Hyperlink" xfId="2071" builtinId="8" hidden="1"/>
    <cellStyle name="Hyperlink" xfId="2073" builtinId="8" hidden="1"/>
    <cellStyle name="Hyperlink" xfId="2075" builtinId="8" hidden="1"/>
    <cellStyle name="Hyperlink" xfId="2077" builtinId="8" hidden="1"/>
    <cellStyle name="Hyperlink" xfId="2079" builtinId="8" hidden="1"/>
    <cellStyle name="Hyperlink" xfId="2081" builtinId="8" hidden="1"/>
    <cellStyle name="Hyperlink" xfId="2083" builtinId="8" hidden="1"/>
    <cellStyle name="Hyperlink" xfId="2085" builtinId="8" hidden="1"/>
    <cellStyle name="Hyperlink" xfId="2087" builtinId="8" hidden="1"/>
    <cellStyle name="Hyperlink" xfId="2089" builtinId="8" hidden="1"/>
    <cellStyle name="Hyperlink" xfId="2091" builtinId="8" hidden="1"/>
    <cellStyle name="Hyperlink" xfId="2093" builtinId="8" hidden="1"/>
    <cellStyle name="Hyperlink" xfId="2095" builtinId="8" hidden="1"/>
    <cellStyle name="Hyperlink" xfId="2097" builtinId="8" hidden="1"/>
    <cellStyle name="Hyperlink" xfId="2099" builtinId="8" hidden="1"/>
    <cellStyle name="Hyperlink" xfId="2101" builtinId="8" hidden="1"/>
    <cellStyle name="Hyperlink" xfId="2103" builtinId="8" hidden="1"/>
    <cellStyle name="Hyperlink" xfId="2105" builtinId="8" hidden="1"/>
    <cellStyle name="Hyperlink" xfId="2107" builtinId="8" hidden="1"/>
    <cellStyle name="Hyperlink" xfId="2109" builtinId="8" hidden="1"/>
    <cellStyle name="Hyperlink" xfId="2111" builtinId="8" hidden="1"/>
    <cellStyle name="Hyperlink" xfId="2113" builtinId="8" hidden="1"/>
    <cellStyle name="Hyperlink" xfId="2115" builtinId="8" hidden="1"/>
    <cellStyle name="Hyperlink" xfId="2117" builtinId="8" hidden="1"/>
    <cellStyle name="Hyperlink" xfId="2119" builtinId="8" hidden="1"/>
    <cellStyle name="Hyperlink" xfId="2121" builtinId="8" hidden="1"/>
    <cellStyle name="Hyperlink" xfId="2123" builtinId="8" hidden="1"/>
    <cellStyle name="Hyperlink" xfId="2125" builtinId="8" hidden="1"/>
    <cellStyle name="Hyperlink" xfId="2127" builtinId="8" hidden="1"/>
    <cellStyle name="Hyperlink" xfId="2129" builtinId="8" hidden="1"/>
    <cellStyle name="Hyperlink" xfId="2131" builtinId="8" hidden="1"/>
    <cellStyle name="Hyperlink" xfId="2133" builtinId="8" hidden="1"/>
    <cellStyle name="Hyperlink" xfId="2135" builtinId="8" hidden="1"/>
    <cellStyle name="Hyperlink" xfId="2137" builtinId="8" hidden="1"/>
    <cellStyle name="Hyperlink" xfId="2139" builtinId="8" hidden="1"/>
    <cellStyle name="Hyperlink" xfId="2141" builtinId="8" hidden="1"/>
    <cellStyle name="Hyperlink" xfId="2143" builtinId="8" hidden="1"/>
    <cellStyle name="Hyperlink" xfId="2145" builtinId="8" hidden="1"/>
    <cellStyle name="Hyperlink" xfId="2147" builtinId="8" hidden="1"/>
    <cellStyle name="Hyperlink" xfId="2149" builtinId="8" hidden="1"/>
    <cellStyle name="Hyperlink" xfId="2151" builtinId="8" hidden="1"/>
    <cellStyle name="Hyperlink" xfId="2153" builtinId="8" hidden="1"/>
    <cellStyle name="Hyperlink" xfId="2155" builtinId="8" hidden="1"/>
    <cellStyle name="Hyperlink" xfId="2157" builtinId="8" hidden="1"/>
    <cellStyle name="Hyperlink" xfId="2159" builtinId="8" hidden="1"/>
    <cellStyle name="Hyperlink" xfId="2161" builtinId="8" hidden="1"/>
    <cellStyle name="Hyperlink" xfId="2163" builtinId="8" hidden="1"/>
    <cellStyle name="Hyperlink" xfId="2165" builtinId="8" hidden="1"/>
    <cellStyle name="Hyperlink" xfId="2167" builtinId="8" hidden="1"/>
    <cellStyle name="Hyperlink" xfId="2169" builtinId="8" hidden="1"/>
    <cellStyle name="Hyperlink" xfId="2171" builtinId="8" hidden="1"/>
    <cellStyle name="Hyperlink" xfId="2173" builtinId="8" hidden="1"/>
    <cellStyle name="Hyperlink" xfId="2175" builtinId="8" hidden="1"/>
    <cellStyle name="Hyperlink" xfId="2177" builtinId="8" hidden="1"/>
    <cellStyle name="Hyperlink" xfId="2179" builtinId="8" hidden="1"/>
    <cellStyle name="Hyperlink" xfId="2181" builtinId="8" hidden="1"/>
    <cellStyle name="Hyperlink" xfId="2183" builtinId="8" hidden="1"/>
    <cellStyle name="Hyperlink" xfId="2185" builtinId="8" hidden="1"/>
    <cellStyle name="Hyperlink" xfId="2187" builtinId="8" hidden="1"/>
    <cellStyle name="Hyperlink" xfId="2189" builtinId="8" hidden="1"/>
    <cellStyle name="Hyperlink" xfId="2191" builtinId="8" hidden="1"/>
    <cellStyle name="Hyperlink" xfId="2193" builtinId="8" hidden="1"/>
    <cellStyle name="Hyperlink" xfId="2195" builtinId="8" hidden="1"/>
    <cellStyle name="Hyperlink" xfId="2197" builtinId="8" hidden="1"/>
    <cellStyle name="Hyperlink" xfId="2199" builtinId="8" hidden="1"/>
    <cellStyle name="Hyperlink" xfId="2201" builtinId="8" hidden="1"/>
    <cellStyle name="Hyperlink" xfId="2203" builtinId="8" hidden="1"/>
    <cellStyle name="Hyperlink" xfId="2205" builtinId="8" hidden="1"/>
    <cellStyle name="Hyperlink" xfId="2207" builtinId="8" hidden="1"/>
    <cellStyle name="Hyperlink" xfId="2209" builtinId="8" hidden="1"/>
    <cellStyle name="Hyperlink" xfId="2211" builtinId="8" hidden="1"/>
    <cellStyle name="Hyperlink" xfId="2213" builtinId="8" hidden="1"/>
    <cellStyle name="Hyperlink" xfId="2215" builtinId="8" hidden="1"/>
    <cellStyle name="Hyperlink" xfId="2217" builtinId="8" hidden="1"/>
    <cellStyle name="Hyperlink" xfId="2219" builtinId="8" hidden="1"/>
    <cellStyle name="Hyperlink" xfId="2221" builtinId="8" hidden="1"/>
    <cellStyle name="Hyperlink" xfId="2223" builtinId="8" hidden="1"/>
    <cellStyle name="Hyperlink" xfId="2225" builtinId="8" hidden="1"/>
    <cellStyle name="Hyperlink" xfId="2227" builtinId="8" hidden="1"/>
    <cellStyle name="Hyperlink" xfId="2229" builtinId="8" hidden="1"/>
    <cellStyle name="Hyperlink" xfId="2231" builtinId="8" hidden="1"/>
    <cellStyle name="Hyperlink" xfId="2233" builtinId="8" hidden="1"/>
    <cellStyle name="Hyperlink" xfId="2235" builtinId="8" hidden="1"/>
    <cellStyle name="Hyperlink" xfId="2237" builtinId="8" hidden="1"/>
    <cellStyle name="Hyperlink" xfId="2239" builtinId="8" hidden="1"/>
    <cellStyle name="Hyperlink" xfId="2241" builtinId="8" hidden="1"/>
    <cellStyle name="Hyperlink" xfId="2243" builtinId="8" hidden="1"/>
    <cellStyle name="Hyperlink" xfId="2245" builtinId="8" hidden="1"/>
    <cellStyle name="Hyperlink" xfId="2247" builtinId="8" hidden="1"/>
    <cellStyle name="Hyperlink" xfId="2249" builtinId="8" hidden="1"/>
    <cellStyle name="Hyperlink" xfId="2251" builtinId="8" hidden="1"/>
    <cellStyle name="Hyperlink" xfId="2253" builtinId="8" hidden="1"/>
    <cellStyle name="Hyperlink" xfId="2255" builtinId="8" hidden="1"/>
    <cellStyle name="Hyperlink" xfId="2257" builtinId="8" hidden="1"/>
    <cellStyle name="Hyperlink" xfId="2259" builtinId="8" hidden="1"/>
    <cellStyle name="Hyperlink" xfId="2261" builtinId="8" hidden="1"/>
    <cellStyle name="Hyperlink" xfId="2263" builtinId="8" hidden="1"/>
    <cellStyle name="Hyperlink" xfId="2265" builtinId="8" hidden="1"/>
    <cellStyle name="Hyperlink" xfId="2267" builtinId="8" hidden="1"/>
    <cellStyle name="Hyperlink" xfId="2269" builtinId="8" hidden="1"/>
    <cellStyle name="Hyperlink" xfId="2271" builtinId="8" hidden="1"/>
    <cellStyle name="Hyperlink" xfId="2273" builtinId="8" hidden="1"/>
    <cellStyle name="Hyperlink" xfId="2275" builtinId="8" hidden="1"/>
    <cellStyle name="Hyperlink" xfId="2277" builtinId="8" hidden="1"/>
    <cellStyle name="Hyperlink" xfId="2279" builtinId="8" hidden="1"/>
    <cellStyle name="Hyperlink" xfId="2281" builtinId="8" hidden="1"/>
    <cellStyle name="Hyperlink" xfId="2283" builtinId="8" hidden="1"/>
    <cellStyle name="Hyperlink" xfId="2285" builtinId="8" hidden="1"/>
    <cellStyle name="Hyperlink" xfId="2287" builtinId="8" hidden="1"/>
    <cellStyle name="Hyperlink" xfId="2289" builtinId="8" hidden="1"/>
    <cellStyle name="Hyperlink" xfId="2291" builtinId="8" hidden="1"/>
    <cellStyle name="Hyperlink" xfId="2293" builtinId="8" hidden="1"/>
    <cellStyle name="Hyperlink" xfId="2295" builtinId="8" hidden="1"/>
    <cellStyle name="Hyperlink" xfId="2297" builtinId="8" hidden="1"/>
    <cellStyle name="Hyperlink" xfId="2299" builtinId="8" hidden="1"/>
    <cellStyle name="Hyperlink" xfId="2301" builtinId="8" hidden="1"/>
    <cellStyle name="Hyperlink" xfId="2303" builtinId="8" hidden="1"/>
    <cellStyle name="Hyperlink" xfId="2305" builtinId="8" hidden="1"/>
    <cellStyle name="Hyperlink" xfId="2307" builtinId="8" hidden="1"/>
    <cellStyle name="Hyperlink" xfId="2309" builtinId="8" hidden="1"/>
    <cellStyle name="Hyperlink" xfId="2311" builtinId="8" hidden="1"/>
    <cellStyle name="Hyperlink" xfId="2313" builtinId="8" hidden="1"/>
    <cellStyle name="Hyperlink" xfId="2315" builtinId="8" hidden="1"/>
    <cellStyle name="Hyperlink" xfId="2317" builtinId="8" hidden="1"/>
    <cellStyle name="Hyperlink" xfId="2319" builtinId="8" hidden="1"/>
    <cellStyle name="Hyperlink" xfId="2321" builtinId="8" hidden="1"/>
    <cellStyle name="Hyperlink" xfId="2323" builtinId="8" hidden="1"/>
    <cellStyle name="Hyperlink" xfId="2325" builtinId="8" hidden="1"/>
    <cellStyle name="Hyperlink" xfId="2327" builtinId="8" hidden="1"/>
    <cellStyle name="Hyperlink" xfId="2329" builtinId="8" hidden="1"/>
    <cellStyle name="Hyperlink" xfId="2331" builtinId="8" hidden="1"/>
    <cellStyle name="Hyperlink" xfId="2333" builtinId="8" hidden="1"/>
    <cellStyle name="Hyperlink" xfId="2335" builtinId="8" hidden="1"/>
    <cellStyle name="Hyperlink" xfId="2337" builtinId="8" hidden="1"/>
    <cellStyle name="Hyperlink" xfId="2339" builtinId="8" hidden="1"/>
    <cellStyle name="Hyperlink" xfId="2341" builtinId="8" hidden="1"/>
    <cellStyle name="Hyperlink" xfId="2343" builtinId="8" hidden="1"/>
    <cellStyle name="Hyperlink" xfId="2345" builtinId="8" hidden="1"/>
    <cellStyle name="Hyperlink" xfId="2347" builtinId="8" hidden="1"/>
    <cellStyle name="Hyperlink" xfId="2349" builtinId="8" hidden="1"/>
    <cellStyle name="Hyperlink" xfId="2351" builtinId="8" hidden="1"/>
    <cellStyle name="Hyperlink" xfId="2353" builtinId="8" hidden="1"/>
    <cellStyle name="Hyperlink" xfId="2355" builtinId="8" hidden="1"/>
    <cellStyle name="Hyperlink" xfId="2357" builtinId="8" hidden="1"/>
    <cellStyle name="Hyperlink" xfId="2359" builtinId="8" hidden="1"/>
    <cellStyle name="Hyperlink" xfId="2361" builtinId="8" hidden="1"/>
    <cellStyle name="Hyperlink" xfId="2363" builtinId="8" hidden="1"/>
    <cellStyle name="Hyperlink" xfId="2365" builtinId="8" hidden="1"/>
    <cellStyle name="Hyperlink" xfId="2367" builtinId="8" hidden="1"/>
    <cellStyle name="Hyperlink" xfId="2369" builtinId="8" hidden="1"/>
    <cellStyle name="Hyperlink" xfId="2371" builtinId="8" hidden="1"/>
    <cellStyle name="Hyperlink" xfId="2373" builtinId="8" hidden="1"/>
    <cellStyle name="Hyperlink" xfId="2375" builtinId="8" hidden="1"/>
    <cellStyle name="Hyperlink" xfId="2377" builtinId="8" hidden="1"/>
    <cellStyle name="Hyperlink" xfId="2379" builtinId="8" hidden="1"/>
    <cellStyle name="Hyperlink" xfId="2381" builtinId="8" hidden="1"/>
    <cellStyle name="Hyperlink" xfId="2383" builtinId="8" hidden="1"/>
    <cellStyle name="Hyperlink" xfId="2385" builtinId="8" hidden="1"/>
    <cellStyle name="Hyperlink" xfId="2387" builtinId="8" hidden="1"/>
    <cellStyle name="Hyperlink" xfId="2389" builtinId="8" hidden="1"/>
    <cellStyle name="Hyperlink" xfId="2391" builtinId="8" hidden="1"/>
    <cellStyle name="Hyperlink" xfId="2393" builtinId="8" hidden="1"/>
    <cellStyle name="Hyperlink" xfId="2395" builtinId="8" hidden="1"/>
    <cellStyle name="Hyperlink" xfId="2397" builtinId="8" hidden="1"/>
    <cellStyle name="Hyperlink" xfId="2399" builtinId="8" hidden="1"/>
    <cellStyle name="Hyperlink" xfId="2401" builtinId="8" hidden="1"/>
    <cellStyle name="Hyperlink" xfId="2403" builtinId="8" hidden="1"/>
    <cellStyle name="Hyperlink" xfId="2405" builtinId="8" hidden="1"/>
    <cellStyle name="Hyperlink" xfId="2407" builtinId="8" hidden="1"/>
    <cellStyle name="Hyperlink" xfId="2409" builtinId="8" hidden="1"/>
    <cellStyle name="Hyperlink" xfId="2411" builtinId="8" hidden="1"/>
    <cellStyle name="Hyperlink" xfId="2413" builtinId="8" hidden="1"/>
    <cellStyle name="Hyperlink" xfId="2415" builtinId="8" hidden="1"/>
    <cellStyle name="Hyperlink" xfId="2417" builtinId="8" hidden="1"/>
    <cellStyle name="Hyperlink" xfId="2419" builtinId="8" hidden="1"/>
    <cellStyle name="Normal" xfId="0" builtinId="0"/>
  </cellStyles>
  <dxfs count="2247">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5</xdr:col>
      <xdr:colOff>889000</xdr:colOff>
      <xdr:row>1</xdr:row>
      <xdr:rowOff>127000</xdr:rowOff>
    </xdr:from>
    <xdr:to>
      <xdr:col>10</xdr:col>
      <xdr:colOff>76200</xdr:colOff>
      <xdr:row>11</xdr:row>
      <xdr:rowOff>50800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4305300" y="228600"/>
          <a:ext cx="4330700" cy="2933700"/>
        </a:xfrm>
        <a:prstGeom prst="rect">
          <a:avLst/>
        </a:prstGeom>
        <a:solidFill>
          <a:schemeClr val="accent3">
            <a:lumMod val="20000"/>
            <a:lumOff val="80000"/>
          </a:schemeClr>
        </a:solidFill>
        <a:ln w="9525" cmpd="sng">
          <a:solidFill>
            <a:schemeClr val="accent3">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3">
                  <a:lumMod val="50000"/>
                </a:schemeClr>
              </a:solidFill>
            </a:rPr>
            <a:t>READ ME:</a:t>
          </a:r>
        </a:p>
        <a:p>
          <a:r>
            <a:rPr lang="en-US" sz="1100" b="1">
              <a:solidFill>
                <a:schemeClr val="accent3">
                  <a:lumMod val="50000"/>
                </a:schemeClr>
              </a:solidFill>
            </a:rPr>
            <a:t>Note 1:</a:t>
          </a:r>
          <a:r>
            <a:rPr lang="en-US" sz="1100" b="0">
              <a:solidFill>
                <a:schemeClr val="accent3">
                  <a:lumMod val="50000"/>
                </a:schemeClr>
              </a:solidFill>
            </a:rPr>
            <a:t> The </a:t>
          </a:r>
          <a:r>
            <a:rPr lang="en-US" sz="1100" b="0" baseline="0">
              <a:solidFill>
                <a:schemeClr val="accent3">
                  <a:lumMod val="50000"/>
                </a:schemeClr>
              </a:solidFill>
            </a:rPr>
            <a:t>Impact Model must be populated before data is entered into the Offset Model.</a:t>
          </a:r>
        </a:p>
        <a:p>
          <a:r>
            <a:rPr lang="en-US" sz="1100" b="1" baseline="0">
              <a:solidFill>
                <a:schemeClr val="accent3">
                  <a:lumMod val="50000"/>
                </a:schemeClr>
              </a:solidFill>
            </a:rPr>
            <a:t>Note 2</a:t>
          </a:r>
          <a:r>
            <a:rPr lang="en-US" sz="1100" b="0" baseline="0">
              <a:solidFill>
                <a:schemeClr val="accent3">
                  <a:lumMod val="50000"/>
                </a:schemeClr>
              </a:solidFill>
            </a:rPr>
            <a:t>: Use a new workbook for each additional Biodiversity Type.</a:t>
          </a:r>
          <a:endParaRPr lang="en-US" sz="1100" b="0">
            <a:solidFill>
              <a:schemeClr val="accent3">
                <a:lumMod val="50000"/>
              </a:schemeClr>
            </a:solidFill>
          </a:endParaRPr>
        </a:p>
        <a:p>
          <a:r>
            <a:rPr lang="en-US" sz="1100" b="1">
              <a:solidFill>
                <a:schemeClr val="accent3">
                  <a:lumMod val="50000"/>
                </a:schemeClr>
              </a:solidFill>
            </a:rPr>
            <a:t>Steps 1 &amp; 2: </a:t>
          </a:r>
          <a:r>
            <a:rPr lang="en-US" sz="1100" b="0">
              <a:solidFill>
                <a:schemeClr val="accent3">
                  <a:lumMod val="50000"/>
                </a:schemeClr>
              </a:solidFill>
            </a:rPr>
            <a:t>Input the Biodiversity</a:t>
          </a:r>
          <a:r>
            <a:rPr lang="en-US" sz="1100" b="0" baseline="0">
              <a:solidFill>
                <a:schemeClr val="accent3">
                  <a:lumMod val="50000"/>
                </a:schemeClr>
              </a:solidFill>
            </a:rPr>
            <a:t> </a:t>
          </a:r>
          <a:r>
            <a:rPr lang="en-US" sz="1100" b="0">
              <a:solidFill>
                <a:schemeClr val="accent3">
                  <a:lumMod val="50000"/>
                </a:schemeClr>
              </a:solidFill>
            </a:rPr>
            <a:t>Type to be accounted for </a:t>
          </a:r>
          <a:r>
            <a:rPr lang="en-US" sz="1100" b="0" baseline="0">
              <a:solidFill>
                <a:schemeClr val="accent3">
                  <a:lumMod val="50000"/>
                </a:schemeClr>
              </a:solidFill>
            </a:rPr>
            <a:t>into </a:t>
          </a:r>
          <a:r>
            <a:rPr lang="en-US" sz="1100" b="0">
              <a:solidFill>
                <a:schemeClr val="accent3">
                  <a:lumMod val="50000"/>
                </a:schemeClr>
              </a:solidFill>
            </a:rPr>
            <a:t>Cell C11 and corresponding number (e.g. 1 if it the first Biodiversity Type, 2, if it is the second etc.)</a:t>
          </a:r>
          <a:r>
            <a:rPr lang="en-US" sz="1100" b="0" baseline="0">
              <a:solidFill>
                <a:schemeClr val="accent3">
                  <a:lumMod val="50000"/>
                </a:schemeClr>
              </a:solidFill>
            </a:rPr>
            <a:t> into Cell B11.</a:t>
          </a:r>
          <a:r>
            <a:rPr lang="en-US" sz="1100">
              <a:solidFill>
                <a:schemeClr val="accent3">
                  <a:lumMod val="50000"/>
                </a:schemeClr>
              </a:solidFill>
            </a:rPr>
            <a:t>.</a:t>
          </a:r>
        </a:p>
        <a:p>
          <a:r>
            <a:rPr lang="en-US" sz="1100" b="1" baseline="0">
              <a:solidFill>
                <a:schemeClr val="accent3">
                  <a:lumMod val="50000"/>
                </a:schemeClr>
              </a:solidFill>
            </a:rPr>
            <a:t>Step 3: </a:t>
          </a:r>
          <a:r>
            <a:rPr lang="en-US" sz="1100" baseline="0">
              <a:solidFill>
                <a:schemeClr val="accent3">
                  <a:lumMod val="50000"/>
                </a:schemeClr>
              </a:solidFill>
            </a:rPr>
            <a:t>Input the first Biodiversity Component into Cell C15.</a:t>
          </a:r>
        </a:p>
        <a:p>
          <a:r>
            <a:rPr lang="en-US" sz="1100" b="1" baseline="0">
              <a:solidFill>
                <a:schemeClr val="accent3">
                  <a:lumMod val="50000"/>
                </a:schemeClr>
              </a:solidFill>
            </a:rPr>
            <a:t>Steps 4–10: </a:t>
          </a:r>
          <a:r>
            <a:rPr lang="en-US" sz="1100" baseline="0">
              <a:solidFill>
                <a:schemeClr val="accent3">
                  <a:lumMod val="50000"/>
                </a:schemeClr>
              </a:solidFill>
            </a:rPr>
            <a:t>Work through the Impact Model for each Biodiversity Attribute (Columns E–L) entering values into all cells coloured light brown. Cells coloured light green will auto-populate.</a:t>
          </a:r>
        </a:p>
        <a:p>
          <a:r>
            <a:rPr lang="en-US" sz="1100" b="1" baseline="0">
              <a:solidFill>
                <a:schemeClr val="accent3">
                  <a:lumMod val="50000"/>
                </a:schemeClr>
              </a:solidFill>
            </a:rPr>
            <a:t>Step 11: </a:t>
          </a:r>
          <a:r>
            <a:rPr lang="en-US" sz="1100" baseline="0">
              <a:solidFill>
                <a:schemeClr val="accent3">
                  <a:lumMod val="50000"/>
                </a:schemeClr>
              </a:solidFill>
            </a:rPr>
            <a:t>Repeat Steps 4–10 for as many Biodiversity Attributes as required.</a:t>
          </a:r>
        </a:p>
        <a:p>
          <a:r>
            <a:rPr lang="en-US" sz="1100" b="1" baseline="0">
              <a:solidFill>
                <a:schemeClr val="accent3">
                  <a:lumMod val="50000"/>
                </a:schemeClr>
              </a:solidFill>
            </a:rPr>
            <a:t>Step 12: </a:t>
          </a:r>
          <a:r>
            <a:rPr lang="en-US" sz="1100" b="0" baseline="0">
              <a:solidFill>
                <a:schemeClr val="accent3">
                  <a:lumMod val="50000"/>
                </a:schemeClr>
              </a:solidFill>
            </a:rPr>
            <a:t>Repeat Steps 3–10 for as many Biodiversity Components as required (scrolling down the sheet).</a:t>
          </a:r>
        </a:p>
        <a:p>
          <a:endParaRPr lang="en-US" sz="1100" b="1" baseline="0">
            <a:solidFill>
              <a:schemeClr val="accent3">
                <a:lumMod val="50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431800</xdr:colOff>
      <xdr:row>2</xdr:row>
      <xdr:rowOff>12700</xdr:rowOff>
    </xdr:from>
    <xdr:to>
      <xdr:col>9</xdr:col>
      <xdr:colOff>711200</xdr:colOff>
      <xdr:row>11</xdr:row>
      <xdr:rowOff>63500</xdr:rowOff>
    </xdr:to>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3771900" y="304800"/>
          <a:ext cx="5283200" cy="2832100"/>
        </a:xfrm>
        <a:prstGeom prst="rect">
          <a:avLst/>
        </a:prstGeom>
        <a:solidFill>
          <a:schemeClr val="tx2">
            <a:lumMod val="20000"/>
            <a:lumOff val="80000"/>
          </a:schemeClr>
        </a:solidFill>
        <a:ln w="9525"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5">
                  <a:lumMod val="50000"/>
                </a:schemeClr>
              </a:solidFill>
            </a:rPr>
            <a:t>READ ME:</a:t>
          </a:r>
        </a:p>
        <a:p>
          <a:r>
            <a:rPr lang="en-US" sz="1100" b="1">
              <a:solidFill>
                <a:schemeClr val="accent5">
                  <a:lumMod val="50000"/>
                </a:schemeClr>
              </a:solidFill>
            </a:rPr>
            <a:t>Step 1</a:t>
          </a:r>
          <a:r>
            <a:rPr lang="en-US" sz="1100" b="0">
              <a:solidFill>
                <a:schemeClr val="accent5">
                  <a:lumMod val="50000"/>
                </a:schemeClr>
              </a:solidFill>
            </a:rPr>
            <a:t>:</a:t>
          </a:r>
          <a:r>
            <a:rPr lang="en-US" sz="1100" b="1" baseline="0">
              <a:solidFill>
                <a:schemeClr val="accent5">
                  <a:lumMod val="50000"/>
                </a:schemeClr>
              </a:solidFill>
            </a:rPr>
            <a:t> </a:t>
          </a:r>
          <a:r>
            <a:rPr lang="en-US" sz="1100" b="0" baseline="0">
              <a:solidFill>
                <a:schemeClr val="accent5">
                  <a:lumMod val="50000"/>
                </a:schemeClr>
              </a:solidFill>
            </a:rPr>
            <a:t>Biodiversity Attributes must be entered into the Impact Model prior to commencing input into the Offset Model.</a:t>
          </a:r>
          <a:endParaRPr lang="en-US" sz="1100" b="0">
            <a:solidFill>
              <a:schemeClr val="accent5">
                <a:lumMod val="50000"/>
              </a:schemeClr>
            </a:solidFill>
          </a:endParaRPr>
        </a:p>
        <a:p>
          <a:r>
            <a:rPr lang="en-US" sz="1100" b="1">
              <a:solidFill>
                <a:schemeClr val="accent5">
                  <a:lumMod val="50000"/>
                </a:schemeClr>
              </a:solidFill>
            </a:rPr>
            <a:t>Step 2</a:t>
          </a:r>
          <a:r>
            <a:rPr lang="en-US" sz="1100" b="0">
              <a:solidFill>
                <a:schemeClr val="accent5">
                  <a:lumMod val="50000"/>
                </a:schemeClr>
              </a:solidFill>
            </a:rPr>
            <a:t>: Input the  Biodiversity Type identifier</a:t>
          </a:r>
          <a:r>
            <a:rPr lang="en-US" sz="1100" b="0" baseline="0">
              <a:solidFill>
                <a:schemeClr val="accent5">
                  <a:lumMod val="50000"/>
                </a:schemeClr>
              </a:solidFill>
            </a:rPr>
            <a:t> </a:t>
          </a:r>
          <a:r>
            <a:rPr lang="en-US" sz="1100" b="0">
              <a:solidFill>
                <a:schemeClr val="accent5">
                  <a:lumMod val="50000"/>
                </a:schemeClr>
              </a:solidFill>
            </a:rPr>
            <a:t>(e.g. 1 if it the first Biodiversity Type, 2, if it is the second etc.) into Cell B11. The same identifying</a:t>
          </a:r>
          <a:r>
            <a:rPr lang="en-US" sz="1100" b="0" baseline="0">
              <a:solidFill>
                <a:schemeClr val="accent5">
                  <a:lumMod val="50000"/>
                </a:schemeClr>
              </a:solidFill>
            </a:rPr>
            <a:t> number needs to be used for the same Biodiversity Type within the Impact and Offset Models. The </a:t>
          </a:r>
          <a:r>
            <a:rPr lang="en-US" sz="1100" b="0">
              <a:solidFill>
                <a:schemeClr val="accent5">
                  <a:lumMod val="50000"/>
                </a:schemeClr>
              </a:solidFill>
            </a:rPr>
            <a:t>Biodiversity Type (Cell C11) will be auto-populated</a:t>
          </a:r>
          <a:r>
            <a:rPr lang="en-US" sz="1100" b="0" baseline="0">
              <a:solidFill>
                <a:schemeClr val="accent5">
                  <a:lumMod val="50000"/>
                </a:schemeClr>
              </a:solidFill>
            </a:rPr>
            <a:t>.</a:t>
          </a:r>
          <a:endParaRPr lang="en-US" sz="1100" b="0">
            <a:solidFill>
              <a:schemeClr val="accent5">
                <a:lumMod val="50000"/>
              </a:schemeClr>
            </a:solidFill>
          </a:endParaRPr>
        </a:p>
        <a:p>
          <a:r>
            <a:rPr lang="en-US" sz="1100" b="1">
              <a:solidFill>
                <a:schemeClr val="accent5">
                  <a:lumMod val="50000"/>
                </a:schemeClr>
              </a:solidFill>
            </a:rPr>
            <a:t>Step 3: </a:t>
          </a:r>
          <a:r>
            <a:rPr lang="en-US" sz="1100">
              <a:solidFill>
                <a:schemeClr val="accent5">
                  <a:lumMod val="50000"/>
                </a:schemeClr>
              </a:solidFill>
            </a:rPr>
            <a:t>Input </a:t>
          </a:r>
          <a:r>
            <a:rPr lang="en-US" sz="1100" baseline="0">
              <a:solidFill>
                <a:schemeClr val="accent5">
                  <a:lumMod val="50000"/>
                </a:schemeClr>
              </a:solidFill>
            </a:rPr>
            <a:t>time preference Discount</a:t>
          </a:r>
          <a:r>
            <a:rPr lang="en-US" sz="1100">
              <a:solidFill>
                <a:schemeClr val="accent5">
                  <a:lumMod val="50000"/>
                </a:schemeClr>
              </a:solidFill>
            </a:rPr>
            <a:t> Rate  (Cell</a:t>
          </a:r>
          <a:r>
            <a:rPr lang="en-US" sz="1100" baseline="0">
              <a:solidFill>
                <a:schemeClr val="accent5">
                  <a:lumMod val="50000"/>
                </a:schemeClr>
              </a:solidFill>
            </a:rPr>
            <a:t> E11)</a:t>
          </a:r>
          <a:endParaRPr lang="en-US" sz="1100">
            <a:solidFill>
              <a:schemeClr val="accent5">
                <a:lumMod val="50000"/>
              </a:schemeClr>
            </a:solidFill>
          </a:endParaRPr>
        </a:p>
        <a:p>
          <a:r>
            <a:rPr lang="en-US" sz="1100" b="1" baseline="0">
              <a:solidFill>
                <a:schemeClr val="accent5">
                  <a:lumMod val="50000"/>
                </a:schemeClr>
              </a:solidFill>
            </a:rPr>
            <a:t>Step 4: </a:t>
          </a:r>
          <a:r>
            <a:rPr lang="en-US" sz="1100" baseline="0">
              <a:solidFill>
                <a:schemeClr val="accent5">
                  <a:lumMod val="50000"/>
                </a:schemeClr>
              </a:solidFill>
            </a:rPr>
            <a:t>Biodiversity Components will be auto-populated once Cell B11 is populated.</a:t>
          </a:r>
        </a:p>
        <a:p>
          <a:r>
            <a:rPr lang="en-US" sz="1100" b="1" baseline="0">
              <a:solidFill>
                <a:schemeClr val="accent5">
                  <a:lumMod val="50000"/>
                </a:schemeClr>
              </a:solidFill>
            </a:rPr>
            <a:t>Step 5: </a:t>
          </a:r>
          <a:r>
            <a:rPr lang="en-US" sz="1100" baseline="0">
              <a:solidFill>
                <a:schemeClr val="accent5">
                  <a:lumMod val="50000"/>
                </a:schemeClr>
              </a:solidFill>
            </a:rPr>
            <a:t>Biodiversity Attributes will be auto-populated once Cell B11 is populated.</a:t>
          </a:r>
        </a:p>
        <a:p>
          <a:r>
            <a:rPr lang="en-US" sz="1100" b="1" baseline="0">
              <a:solidFill>
                <a:schemeClr val="accent5">
                  <a:lumMod val="50000"/>
                </a:schemeClr>
              </a:solidFill>
            </a:rPr>
            <a:t>Step 6: </a:t>
          </a:r>
          <a:r>
            <a:rPr lang="en-US" sz="1100" baseline="0">
              <a:solidFill>
                <a:schemeClr val="accent5">
                  <a:lumMod val="50000"/>
                </a:schemeClr>
              </a:solidFill>
            </a:rPr>
            <a:t>Work through accounting model for each Biodiversity Attribute entering values into light brown cells. At Column K choose method of accounting for time and follow instructions. If using a finite end point, continue on this sheet. If calculating the offset as accrued over time use the Offset Model_5 yearly worksheet.</a:t>
          </a:r>
        </a:p>
        <a:p>
          <a:r>
            <a:rPr lang="en-US" sz="1100" b="1" baseline="0">
              <a:solidFill>
                <a:schemeClr val="accent5">
                  <a:lumMod val="50000"/>
                </a:schemeClr>
              </a:solidFill>
            </a:rPr>
            <a:t>Step 7: </a:t>
          </a:r>
          <a:r>
            <a:rPr lang="en-US" sz="1100" baseline="0">
              <a:solidFill>
                <a:schemeClr val="accent5">
                  <a:lumMod val="50000"/>
                </a:schemeClr>
              </a:solidFill>
            </a:rPr>
            <a:t>Repeat for additional Biodiversity Components (scrolling down the sheet)</a:t>
          </a:r>
        </a:p>
        <a:p>
          <a:r>
            <a:rPr lang="en-US" sz="1100" b="1" baseline="0">
              <a:solidFill>
                <a:schemeClr val="accent5">
                  <a:lumMod val="50000"/>
                </a:schemeClr>
              </a:solidFill>
            </a:rPr>
            <a:t>Step 8: </a:t>
          </a:r>
          <a:r>
            <a:rPr lang="en-US" sz="1100" baseline="0">
              <a:solidFill>
                <a:schemeClr val="accent5">
                  <a:lumMod val="50000"/>
                </a:schemeClr>
              </a:solidFill>
            </a:rPr>
            <a:t>Use a new workbook for each Biodiversity Type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10"/>
  <sheetViews>
    <sheetView showGridLines="0" workbookViewId="0">
      <selection activeCell="C10" sqref="C10"/>
    </sheetView>
  </sheetViews>
  <sheetFormatPr defaultColWidth="10.875" defaultRowHeight="18.75"/>
  <cols>
    <col min="1" max="1" width="3.625" style="128" customWidth="1"/>
    <col min="2" max="2" width="7.875" style="128" customWidth="1"/>
    <col min="3" max="3" width="36.625" style="139" bestFit="1" customWidth="1"/>
    <col min="4" max="4" width="102.875" style="140" customWidth="1"/>
    <col min="5" max="5" width="17.625" style="128" bestFit="1" customWidth="1"/>
    <col min="6" max="16384" width="10.875" style="128"/>
  </cols>
  <sheetData>
    <row r="2" spans="2:5" s="124" customFormat="1" ht="37.5">
      <c r="B2" s="122" t="s">
        <v>63</v>
      </c>
      <c r="C2" s="123" t="s">
        <v>9</v>
      </c>
      <c r="D2" s="123" t="s">
        <v>76</v>
      </c>
    </row>
    <row r="3" spans="2:5" ht="27.95" customHeight="1">
      <c r="B3" s="125"/>
      <c r="C3" s="126" t="s">
        <v>64</v>
      </c>
      <c r="D3" s="159" t="s">
        <v>92</v>
      </c>
      <c r="E3" s="127"/>
    </row>
    <row r="4" spans="2:5" ht="27.95" customHeight="1">
      <c r="B4" s="129"/>
      <c r="C4" s="130" t="s">
        <v>86</v>
      </c>
      <c r="D4" s="160"/>
      <c r="E4" s="127"/>
    </row>
    <row r="5" spans="2:5" ht="27.95" customHeight="1">
      <c r="B5" s="131"/>
      <c r="C5" s="132" t="s">
        <v>87</v>
      </c>
      <c r="D5" s="161"/>
      <c r="E5" s="127"/>
    </row>
    <row r="6" spans="2:5" ht="93.75">
      <c r="B6" s="133"/>
      <c r="C6" s="134" t="s">
        <v>75</v>
      </c>
      <c r="D6" s="135" t="s">
        <v>93</v>
      </c>
    </row>
    <row r="7" spans="2:5" ht="225">
      <c r="B7" s="136"/>
      <c r="C7" s="137" t="s">
        <v>88</v>
      </c>
      <c r="D7" s="138" t="s">
        <v>142</v>
      </c>
    </row>
    <row r="10" spans="2:5" ht="26.25">
      <c r="B10" s="141" t="s">
        <v>144</v>
      </c>
    </row>
  </sheetData>
  <mergeCells count="1">
    <mergeCell ref="D3:D5"/>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2" tint="-0.499984740745262"/>
  </sheetPr>
  <dimension ref="B1:F14"/>
  <sheetViews>
    <sheetView showGridLines="0" workbookViewId="0"/>
  </sheetViews>
  <sheetFormatPr defaultColWidth="10.875" defaultRowHeight="15.75"/>
  <cols>
    <col min="1" max="1" width="3.625" customWidth="1"/>
    <col min="2" max="2" width="12.625" style="27" customWidth="1"/>
    <col min="3" max="3" width="26" style="1" customWidth="1"/>
    <col min="4" max="4" width="70.5" style="27" customWidth="1"/>
    <col min="5" max="6" width="56.625" style="27" customWidth="1"/>
  </cols>
  <sheetData>
    <row r="1" spans="2:6" s="25" customFormat="1">
      <c r="B1" s="26"/>
      <c r="C1" s="2"/>
      <c r="D1" s="26"/>
      <c r="E1" s="26"/>
      <c r="F1" s="26"/>
    </row>
    <row r="2" spans="2:6" s="108" customFormat="1" ht="20.100000000000001" customHeight="1">
      <c r="B2" s="163" t="s">
        <v>72</v>
      </c>
      <c r="C2" s="164"/>
      <c r="D2" s="164"/>
      <c r="E2" s="164"/>
      <c r="F2" s="165"/>
    </row>
    <row r="3" spans="2:6" s="25" customFormat="1">
      <c r="B3" s="26"/>
      <c r="C3" s="2"/>
      <c r="D3" s="26"/>
      <c r="E3" s="26"/>
      <c r="F3" s="26"/>
    </row>
    <row r="4" spans="2:6" s="23" customFormat="1" ht="18.75">
      <c r="B4" s="162" t="s">
        <v>2</v>
      </c>
      <c r="C4" s="162"/>
      <c r="D4" s="109" t="s">
        <v>0</v>
      </c>
      <c r="E4" s="110" t="s">
        <v>60</v>
      </c>
      <c r="F4" s="110" t="s">
        <v>137</v>
      </c>
    </row>
    <row r="5" spans="2:6" s="23" customFormat="1" ht="94.5">
      <c r="B5" s="47" t="s">
        <v>71</v>
      </c>
      <c r="C5" s="47"/>
      <c r="D5" s="49" t="s">
        <v>116</v>
      </c>
      <c r="E5" s="50"/>
      <c r="F5" s="50"/>
    </row>
    <row r="6" spans="2:6" s="25" customFormat="1" ht="94.5">
      <c r="B6" s="47" t="s">
        <v>8</v>
      </c>
      <c r="C6" s="47" t="s">
        <v>6</v>
      </c>
      <c r="D6" s="49" t="s">
        <v>106</v>
      </c>
      <c r="E6" s="50"/>
      <c r="F6" s="50"/>
    </row>
    <row r="7" spans="2:6" s="25" customFormat="1" ht="189">
      <c r="B7" s="47" t="s">
        <v>8</v>
      </c>
      <c r="C7" s="48" t="s">
        <v>22</v>
      </c>
      <c r="D7" s="49" t="s">
        <v>107</v>
      </c>
      <c r="E7" s="51"/>
      <c r="F7" s="51"/>
    </row>
    <row r="8" spans="2:6" ht="189">
      <c r="B8" s="47" t="s">
        <v>31</v>
      </c>
      <c r="C8" s="48" t="s">
        <v>23</v>
      </c>
      <c r="D8" s="49" t="s">
        <v>108</v>
      </c>
      <c r="E8" s="52"/>
      <c r="F8" s="52"/>
    </row>
    <row r="9" spans="2:6" ht="94.5">
      <c r="B9" s="47" t="s">
        <v>17</v>
      </c>
      <c r="C9" s="53" t="s">
        <v>27</v>
      </c>
      <c r="D9" s="49" t="s">
        <v>111</v>
      </c>
      <c r="E9" s="52"/>
      <c r="F9" s="52"/>
    </row>
    <row r="10" spans="2:6" ht="94.5">
      <c r="B10" s="47" t="s">
        <v>29</v>
      </c>
      <c r="C10" s="54" t="s">
        <v>7</v>
      </c>
      <c r="D10" s="49" t="s">
        <v>109</v>
      </c>
      <c r="E10" s="51"/>
      <c r="F10" s="51"/>
    </row>
    <row r="11" spans="2:6" ht="299.25">
      <c r="B11" s="47" t="s">
        <v>18</v>
      </c>
      <c r="C11" s="54" t="s">
        <v>33</v>
      </c>
      <c r="D11" s="49" t="s">
        <v>117</v>
      </c>
      <c r="E11" s="51"/>
      <c r="F11" s="51"/>
    </row>
    <row r="12" spans="2:6" ht="78.75">
      <c r="B12" s="47" t="s">
        <v>30</v>
      </c>
      <c r="C12" s="54" t="s">
        <v>32</v>
      </c>
      <c r="D12" s="49" t="s">
        <v>112</v>
      </c>
      <c r="E12" s="52"/>
      <c r="F12" s="51"/>
    </row>
    <row r="13" spans="2:6" ht="110.25">
      <c r="B13" s="47" t="s">
        <v>10</v>
      </c>
      <c r="C13" s="53" t="s">
        <v>40</v>
      </c>
      <c r="D13" s="49" t="s">
        <v>110</v>
      </c>
      <c r="E13" s="52"/>
      <c r="F13" s="51"/>
    </row>
    <row r="14" spans="2:6" ht="94.5">
      <c r="B14" s="55" t="s">
        <v>11</v>
      </c>
      <c r="C14" s="56" t="s">
        <v>114</v>
      </c>
      <c r="D14" s="49" t="s">
        <v>118</v>
      </c>
      <c r="E14" s="49" t="s">
        <v>113</v>
      </c>
      <c r="F14" s="57" t="s">
        <v>105</v>
      </c>
    </row>
  </sheetData>
  <sheetProtection sheet="1" objects="1" scenarios="1"/>
  <mergeCells count="2">
    <mergeCell ref="B4:C4"/>
    <mergeCell ref="B2:F2"/>
  </mergeCells>
  <dataValidations xWindow="854" yWindow="665" count="1">
    <dataValidation allowBlank="1" showErrorMessage="1" promptTitle="Question?" sqref="C12" xr:uid="{00000000-0002-0000-0100-000000000000}"/>
  </dataValidation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pageSetUpPr fitToPage="1"/>
  </sheetPr>
  <dimension ref="B1:G46"/>
  <sheetViews>
    <sheetView showGridLines="0" zoomScale="95" zoomScaleNormal="95" zoomScalePageLayoutView="95" workbookViewId="0"/>
  </sheetViews>
  <sheetFormatPr defaultColWidth="10.875" defaultRowHeight="15.75"/>
  <cols>
    <col min="1" max="1" width="3.375" customWidth="1"/>
    <col min="2" max="2" width="12.625" customWidth="1"/>
    <col min="3" max="3" width="33.375" style="1" customWidth="1"/>
    <col min="4" max="4" width="69.375" style="27" customWidth="1"/>
    <col min="5" max="5" width="57.625" style="27" customWidth="1"/>
    <col min="6" max="6" width="53.875" style="27" customWidth="1"/>
    <col min="7" max="7" width="58.875" style="27" customWidth="1"/>
  </cols>
  <sheetData>
    <row r="1" spans="2:7" s="25" customFormat="1">
      <c r="C1" s="2"/>
      <c r="D1" s="26"/>
      <c r="E1" s="26"/>
      <c r="F1" s="26"/>
      <c r="G1" s="26"/>
    </row>
    <row r="2" spans="2:7" s="107" customFormat="1" ht="23.25">
      <c r="B2" s="167" t="s">
        <v>104</v>
      </c>
      <c r="C2" s="168"/>
      <c r="D2" s="168"/>
      <c r="E2" s="168"/>
      <c r="F2" s="169"/>
    </row>
    <row r="3" spans="2:7" s="107" customFormat="1" ht="23.25">
      <c r="B3" s="173" t="s">
        <v>89</v>
      </c>
      <c r="C3" s="174"/>
      <c r="D3" s="174"/>
      <c r="E3" s="174"/>
      <c r="F3" s="175"/>
    </row>
    <row r="4" spans="2:7" s="25" customFormat="1" ht="15" customHeight="1">
      <c r="C4" s="2"/>
      <c r="D4" s="26"/>
      <c r="E4" s="26"/>
      <c r="F4" s="26"/>
    </row>
    <row r="5" spans="2:7" s="23" customFormat="1" ht="18.75">
      <c r="B5" s="166" t="s">
        <v>2</v>
      </c>
      <c r="C5" s="166"/>
      <c r="D5" s="111" t="s">
        <v>0</v>
      </c>
      <c r="E5" s="112" t="s">
        <v>60</v>
      </c>
      <c r="F5" s="119" t="s">
        <v>137</v>
      </c>
    </row>
    <row r="6" spans="2:7" s="25" customFormat="1" ht="47.25">
      <c r="B6" s="76" t="s">
        <v>71</v>
      </c>
      <c r="C6" s="146"/>
      <c r="D6" s="92" t="s">
        <v>119</v>
      </c>
      <c r="E6" s="118" t="s">
        <v>82</v>
      </c>
      <c r="F6" s="79" t="s">
        <v>81</v>
      </c>
    </row>
    <row r="7" spans="2:7" s="25" customFormat="1" ht="47.25">
      <c r="B7" s="76" t="s">
        <v>8</v>
      </c>
      <c r="C7" s="77" t="s">
        <v>6</v>
      </c>
      <c r="D7" s="92" t="s">
        <v>139</v>
      </c>
      <c r="E7" s="118" t="s">
        <v>83</v>
      </c>
      <c r="F7" s="79" t="s">
        <v>96</v>
      </c>
    </row>
    <row r="8" spans="2:7" s="25" customFormat="1" ht="63">
      <c r="B8" s="72" t="s">
        <v>28</v>
      </c>
      <c r="C8" s="73" t="s">
        <v>134</v>
      </c>
      <c r="D8" s="74" t="s">
        <v>120</v>
      </c>
      <c r="E8" s="75"/>
      <c r="F8" s="120"/>
    </row>
    <row r="9" spans="2:7" s="25" customFormat="1" ht="30" customHeight="1">
      <c r="B9" s="76" t="s">
        <v>8</v>
      </c>
      <c r="C9" s="77" t="s">
        <v>22</v>
      </c>
      <c r="D9" s="170" t="s">
        <v>121</v>
      </c>
      <c r="E9" s="171" t="s">
        <v>48</v>
      </c>
      <c r="F9" s="79" t="s">
        <v>97</v>
      </c>
    </row>
    <row r="10" spans="2:7" ht="31.5">
      <c r="B10" s="76" t="s">
        <v>31</v>
      </c>
      <c r="C10" s="77" t="s">
        <v>23</v>
      </c>
      <c r="D10" s="170"/>
      <c r="E10" s="172"/>
      <c r="F10" s="79" t="s">
        <v>98</v>
      </c>
      <c r="G10"/>
    </row>
    <row r="11" spans="2:7" ht="63" customHeight="1">
      <c r="B11" s="76" t="s">
        <v>17</v>
      </c>
      <c r="C11" s="80" t="s">
        <v>27</v>
      </c>
      <c r="D11" s="170"/>
      <c r="E11" s="78" t="s">
        <v>49</v>
      </c>
      <c r="F11" s="79" t="s">
        <v>99</v>
      </c>
      <c r="G11"/>
    </row>
    <row r="12" spans="2:7" ht="63">
      <c r="B12" s="76" t="s">
        <v>29</v>
      </c>
      <c r="C12" s="81" t="s">
        <v>33</v>
      </c>
      <c r="D12" s="74" t="s">
        <v>140</v>
      </c>
      <c r="E12" s="78" t="s">
        <v>49</v>
      </c>
      <c r="F12" s="82" t="s">
        <v>141</v>
      </c>
      <c r="G12"/>
    </row>
    <row r="13" spans="2:7" ht="31.5">
      <c r="B13" s="72" t="s">
        <v>18</v>
      </c>
      <c r="C13" s="83" t="s">
        <v>59</v>
      </c>
      <c r="D13" s="74" t="s">
        <v>122</v>
      </c>
      <c r="E13" s="84"/>
      <c r="F13" s="84"/>
      <c r="G13"/>
    </row>
    <row r="14" spans="2:7" ht="63">
      <c r="B14" s="72" t="s">
        <v>30</v>
      </c>
      <c r="C14" s="83" t="s">
        <v>20</v>
      </c>
      <c r="D14" s="74" t="s">
        <v>123</v>
      </c>
      <c r="E14" s="84"/>
      <c r="F14" s="84"/>
      <c r="G14"/>
    </row>
    <row r="15" spans="2:7" ht="346.5">
      <c r="B15" s="151" t="s">
        <v>10</v>
      </c>
      <c r="C15" s="152" t="s">
        <v>25</v>
      </c>
      <c r="D15" s="96" t="s">
        <v>136</v>
      </c>
      <c r="E15" s="150" t="s">
        <v>21</v>
      </c>
      <c r="F15" s="149"/>
      <c r="G15"/>
    </row>
    <row r="16" spans="2:7" ht="126">
      <c r="B16" s="85" t="s">
        <v>46</v>
      </c>
      <c r="C16" s="86" t="s">
        <v>124</v>
      </c>
      <c r="D16" s="78" t="s">
        <v>133</v>
      </c>
      <c r="E16" s="78" t="s">
        <v>66</v>
      </c>
      <c r="F16" s="95"/>
      <c r="G16"/>
    </row>
    <row r="17" spans="2:7" ht="78.75">
      <c r="B17" s="72" t="s">
        <v>12</v>
      </c>
      <c r="C17" s="83" t="s">
        <v>57</v>
      </c>
      <c r="D17" s="74" t="s">
        <v>125</v>
      </c>
      <c r="E17" s="78" t="s">
        <v>70</v>
      </c>
      <c r="F17" s="87"/>
      <c r="G17"/>
    </row>
    <row r="18" spans="2:7" ht="126">
      <c r="B18" s="72" t="s">
        <v>13</v>
      </c>
      <c r="C18" s="83" t="s">
        <v>58</v>
      </c>
      <c r="D18" s="74" t="s">
        <v>126</v>
      </c>
      <c r="E18" s="78" t="s">
        <v>70</v>
      </c>
      <c r="F18" s="87"/>
      <c r="G18"/>
    </row>
    <row r="19" spans="2:7" ht="31.5">
      <c r="B19" s="72" t="s">
        <v>14</v>
      </c>
      <c r="C19" s="83" t="s">
        <v>74</v>
      </c>
      <c r="D19" s="74" t="s">
        <v>138</v>
      </c>
      <c r="E19" s="78" t="s">
        <v>69</v>
      </c>
      <c r="F19" s="87"/>
      <c r="G19"/>
    </row>
    <row r="20" spans="2:7" ht="173.25">
      <c r="B20" s="76" t="s">
        <v>15</v>
      </c>
      <c r="C20" s="81" t="s">
        <v>127</v>
      </c>
      <c r="D20" s="74" t="s">
        <v>101</v>
      </c>
      <c r="E20" s="78" t="s">
        <v>143</v>
      </c>
      <c r="F20" s="82" t="s">
        <v>80</v>
      </c>
      <c r="G20"/>
    </row>
    <row r="21" spans="2:7" ht="94.5">
      <c r="B21" s="76" t="s">
        <v>16</v>
      </c>
      <c r="C21" s="81" t="s">
        <v>128</v>
      </c>
      <c r="D21" s="74" t="s">
        <v>102</v>
      </c>
      <c r="E21" s="78" t="s">
        <v>68</v>
      </c>
      <c r="F21" s="82" t="s">
        <v>100</v>
      </c>
      <c r="G21"/>
    </row>
    <row r="22" spans="2:7" ht="157.5">
      <c r="B22" s="76" t="s">
        <v>19</v>
      </c>
      <c r="C22" s="81" t="s">
        <v>53</v>
      </c>
      <c r="D22" s="74" t="s">
        <v>103</v>
      </c>
      <c r="E22" s="78" t="s">
        <v>91</v>
      </c>
      <c r="F22" s="82" t="s">
        <v>95</v>
      </c>
      <c r="G22"/>
    </row>
    <row r="23" spans="2:7">
      <c r="B23" s="98"/>
      <c r="C23" s="99"/>
      <c r="D23" s="100"/>
      <c r="E23" s="101"/>
      <c r="F23" s="102"/>
      <c r="G23"/>
    </row>
    <row r="24" spans="2:7" s="25" customFormat="1" ht="157.5">
      <c r="B24" s="88" t="s">
        <v>24</v>
      </c>
      <c r="C24" s="89" t="s">
        <v>54</v>
      </c>
      <c r="D24" s="91" t="s">
        <v>132</v>
      </c>
      <c r="E24" s="74" t="s">
        <v>94</v>
      </c>
      <c r="F24" s="90" t="s">
        <v>65</v>
      </c>
    </row>
    <row r="25" spans="2:7" s="25" customFormat="1" ht="53.1" customHeight="1">
      <c r="B25" s="103"/>
      <c r="C25" s="104"/>
      <c r="D25" s="103"/>
      <c r="E25" s="105"/>
      <c r="F25" s="106"/>
    </row>
    <row r="46" spans="2:6" s="25" customFormat="1" ht="24" customHeight="1">
      <c r="B46" s="28"/>
      <c r="C46" s="29"/>
      <c r="D46" s="30"/>
      <c r="E46" s="26"/>
      <c r="F46" s="31"/>
    </row>
  </sheetData>
  <sheetProtection sheet="1" objects="1" scenarios="1"/>
  <mergeCells count="5">
    <mergeCell ref="B5:C5"/>
    <mergeCell ref="B2:F2"/>
    <mergeCell ref="D9:D11"/>
    <mergeCell ref="E9:E10"/>
    <mergeCell ref="B3:F3"/>
  </mergeCells>
  <phoneticPr fontId="11" type="noConversion"/>
  <dataValidations count="1">
    <dataValidation allowBlank="1" showInputMessage="1" showErrorMessage="1" promptTitle="Biodiversity Type" prompt="Biodiversity Types entered into the Offset Model are the same as the Types entered into the Impact Model. This column auto-populates from the Impact Model." sqref="F7" xr:uid="{00000000-0002-0000-0200-000000000000}"/>
  </dataValidations>
  <pageMargins left="0.75" right="0.75" top="1" bottom="1" header="0.5" footer="0.5"/>
  <pageSetup paperSize="9" scale="25" orientation="portrait" horizontalDpi="4294967292" verticalDpi="4294967292"/>
  <extLs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6" tint="-0.249977111117893"/>
  </sheetPr>
  <dimension ref="B1:L252"/>
  <sheetViews>
    <sheetView showGridLines="0" topLeftCell="A14" workbookViewId="0">
      <selection activeCell="H24" sqref="H24"/>
    </sheetView>
  </sheetViews>
  <sheetFormatPr defaultColWidth="10.875" defaultRowHeight="15.75"/>
  <cols>
    <col min="1" max="1" width="4.875" style="5" customWidth="1"/>
    <col min="2" max="2" width="7.5" style="5" customWidth="1"/>
    <col min="3" max="3" width="13.5" style="5" customWidth="1"/>
    <col min="4" max="4" width="5.5" style="5" customWidth="1"/>
    <col min="5" max="5" width="17.375" style="5" customWidth="1"/>
    <col min="6" max="10" width="13.5" style="5" customWidth="1"/>
    <col min="11" max="11" width="15.875" style="5" customWidth="1"/>
    <col min="12" max="12" width="80.125" style="60" customWidth="1"/>
    <col min="13" max="15" width="22.625" style="5" customWidth="1"/>
    <col min="16" max="16" width="7.5" style="5" customWidth="1"/>
    <col min="17" max="17" width="22.625" style="5" customWidth="1"/>
    <col min="18" max="18" width="14.375" style="5" customWidth="1"/>
    <col min="19" max="19" width="10.875" style="5"/>
    <col min="20" max="20" width="14.375" style="5" customWidth="1"/>
    <col min="21" max="16384" width="10.875" style="5"/>
  </cols>
  <sheetData>
    <row r="1" spans="2:12" ht="8.1" customHeight="1"/>
    <row r="2" spans="2:12">
      <c r="B2" s="183" t="s">
        <v>73</v>
      </c>
      <c r="C2" s="183"/>
      <c r="D2" s="183"/>
      <c r="E2" s="183"/>
    </row>
    <row r="3" spans="2:12">
      <c r="B3" s="183"/>
      <c r="C3" s="183"/>
      <c r="D3" s="183"/>
      <c r="E3" s="183"/>
      <c r="I3" s="9"/>
    </row>
    <row r="4" spans="2:12">
      <c r="B4" s="183"/>
      <c r="C4" s="183"/>
      <c r="D4" s="183"/>
      <c r="E4" s="183"/>
      <c r="I4" s="9"/>
    </row>
    <row r="5" spans="2:12" ht="12" customHeight="1">
      <c r="B5" s="10"/>
      <c r="C5" s="10"/>
      <c r="D5" s="10"/>
      <c r="E5" s="10"/>
      <c r="I5" s="9"/>
    </row>
    <row r="6" spans="2:12" ht="24.95" customHeight="1">
      <c r="B6" s="37" t="s">
        <v>26</v>
      </c>
      <c r="C6" s="10"/>
      <c r="D6" s="10"/>
      <c r="E6" s="10"/>
    </row>
    <row r="7" spans="2:12" ht="30" customHeight="1">
      <c r="B7" s="45"/>
      <c r="C7" s="43"/>
    </row>
    <row r="8" spans="2:12" ht="30" customHeight="1">
      <c r="B8" s="58"/>
      <c r="C8" s="43"/>
    </row>
    <row r="9" spans="2:12" ht="12" customHeight="1" thickBot="1"/>
    <row r="10" spans="2:12" ht="50.1" customHeight="1" thickBot="1">
      <c r="C10" s="71" t="s">
        <v>3</v>
      </c>
      <c r="D10" s="36"/>
    </row>
    <row r="11" spans="2:12" ht="33" customHeight="1" thickBot="1">
      <c r="B11" s="117"/>
      <c r="C11" s="61" t="s">
        <v>151</v>
      </c>
      <c r="D11" s="10"/>
      <c r="F11" s="3"/>
    </row>
    <row r="12" spans="2:12" ht="26.1" customHeight="1" thickBot="1">
      <c r="B12" s="10"/>
      <c r="C12" s="10"/>
      <c r="D12" s="10"/>
    </row>
    <row r="13" spans="2:12" ht="90" customHeight="1">
      <c r="B13" s="12"/>
      <c r="C13" s="179" t="s">
        <v>35</v>
      </c>
      <c r="D13" s="180"/>
      <c r="E13" s="180"/>
      <c r="F13" s="180"/>
      <c r="G13" s="181"/>
      <c r="H13" s="176" t="s">
        <v>79</v>
      </c>
      <c r="I13" s="177"/>
      <c r="J13" s="177"/>
      <c r="K13" s="178"/>
    </row>
    <row r="14" spans="2:12" s="60" customFormat="1" ht="57" customHeight="1" thickBot="1">
      <c r="C14" s="59" t="s">
        <v>4</v>
      </c>
      <c r="D14" s="182" t="s">
        <v>5</v>
      </c>
      <c r="E14" s="182"/>
      <c r="F14" s="41" t="s">
        <v>27</v>
      </c>
      <c r="G14" s="42" t="s">
        <v>154</v>
      </c>
      <c r="H14" s="40" t="s">
        <v>34</v>
      </c>
      <c r="I14" s="41" t="s">
        <v>36</v>
      </c>
      <c r="J14" s="41" t="s">
        <v>37</v>
      </c>
      <c r="K14" s="42" t="s">
        <v>115</v>
      </c>
    </row>
    <row r="15" spans="2:12" ht="48" thickBot="1">
      <c r="B15" s="114" t="str">
        <f>CONCATENATE($B$11+0.1)</f>
        <v>0.1</v>
      </c>
      <c r="C15" s="44" t="s">
        <v>155</v>
      </c>
      <c r="D15" s="115" t="str">
        <f>CONCATENATE(B15,"a")</f>
        <v>0.1a</v>
      </c>
      <c r="E15" s="44" t="s">
        <v>156</v>
      </c>
      <c r="F15" s="44" t="s">
        <v>158</v>
      </c>
      <c r="G15" s="44">
        <v>21.5</v>
      </c>
      <c r="H15" s="44">
        <v>95</v>
      </c>
      <c r="I15" s="44">
        <v>24.17</v>
      </c>
      <c r="J15" s="44">
        <v>0</v>
      </c>
      <c r="K15" s="153">
        <f>IFERROR(IF(ISBLANK(J15),"",(IF(J15&lt;H15,J15/H15,1)-IF(I15&lt;H15,I15/H15,1)))*(G15),"Not calculated")</f>
        <v>-5.4700526315789482</v>
      </c>
    </row>
    <row r="16" spans="2:12" ht="33" customHeight="1" thickBot="1">
      <c r="B16" s="12"/>
      <c r="C16" s="38"/>
      <c r="D16" s="116" t="str">
        <f>CONCATENATE(B15,"b")</f>
        <v>0.1b</v>
      </c>
      <c r="E16" s="44"/>
      <c r="F16" s="44"/>
      <c r="G16" s="44"/>
      <c r="H16" s="44"/>
      <c r="I16" s="44"/>
      <c r="J16" s="44"/>
      <c r="K16" s="153" t="str">
        <f>IFERROR(IF(ISBLANK(J16),"",(IF(J16&lt;H16,J16/H16,1)-IF(I16&lt;H16,I16/H16,1)))*(G16),"Not calculated")</f>
        <v>Not calculated</v>
      </c>
      <c r="L16" s="156"/>
    </row>
    <row r="17" spans="2:11" ht="33" customHeight="1" thickBot="1">
      <c r="B17" s="12"/>
      <c r="C17" s="39"/>
      <c r="D17" s="116" t="str">
        <f>CONCATENATE(B15,"c")</f>
        <v>0.1c</v>
      </c>
      <c r="E17" s="155"/>
      <c r="F17" s="44"/>
      <c r="G17" s="44"/>
      <c r="H17" s="44"/>
      <c r="I17" s="44"/>
      <c r="J17" s="44"/>
      <c r="K17" s="153" t="str">
        <f>IFERROR(IF(ISBLANK(J17),"",(IF(J17&lt;H17,J17/H17,1)-IF(I17&lt;H17,I17/H17,1)))*(G17),"Not calculated")</f>
        <v>Not calculated</v>
      </c>
    </row>
    <row r="18" spans="2:11" ht="33" customHeight="1" thickBot="1">
      <c r="B18" s="12"/>
      <c r="C18" s="39"/>
      <c r="D18" s="116" t="str">
        <f>CONCATENATE(B15,"d")</f>
        <v>0.1d</v>
      </c>
      <c r="E18" s="44"/>
      <c r="F18" s="44"/>
      <c r="G18" s="44"/>
      <c r="H18" s="44"/>
      <c r="I18" s="44"/>
      <c r="J18" s="44"/>
      <c r="K18" s="153" t="str">
        <f>IFERROR(IF(ISBLANK(J18),"",(IF(J18&lt;H18,J18/H18,1)-IF(I18&lt;H18,I18/H18,1)))*(G18),"Not calculated")</f>
        <v>Not calculated</v>
      </c>
    </row>
    <row r="19" spans="2:11" ht="33" customHeight="1" thickBot="1">
      <c r="B19" s="12"/>
      <c r="C19" s="39"/>
      <c r="D19" s="116" t="str">
        <f>CONCATENATE(B15,"e")</f>
        <v>0.1e</v>
      </c>
      <c r="E19" s="44"/>
      <c r="F19" s="44"/>
      <c r="G19" s="44"/>
      <c r="H19" s="44"/>
      <c r="I19" s="44"/>
      <c r="J19" s="44"/>
      <c r="K19" s="153" t="str">
        <f>IFERROR(IF(ISBLANK(J19),"",(IF(J19&lt;H19,J19/H19,1)-IF(I19&lt;H19,I19/H19,1)))*(G19),"Not calculated")</f>
        <v>Not calculated</v>
      </c>
    </row>
    <row r="20" spans="2:11" ht="27.95" customHeight="1" thickBot="1">
      <c r="B20" s="12"/>
      <c r="C20" s="13"/>
      <c r="D20" s="13"/>
      <c r="E20" s="13"/>
      <c r="F20" s="13"/>
      <c r="G20" s="13"/>
      <c r="H20" s="13"/>
      <c r="I20" s="13"/>
      <c r="J20" s="13"/>
      <c r="K20" s="62"/>
    </row>
    <row r="21" spans="2:11" ht="90" customHeight="1">
      <c r="B21" s="12"/>
      <c r="C21" s="179" t="s">
        <v>35</v>
      </c>
      <c r="D21" s="180"/>
      <c r="E21" s="180"/>
      <c r="F21" s="180"/>
      <c r="G21" s="181"/>
      <c r="H21" s="176" t="s">
        <v>79</v>
      </c>
      <c r="I21" s="177"/>
      <c r="J21" s="177"/>
      <c r="K21" s="178"/>
    </row>
    <row r="22" spans="2:11" s="60" customFormat="1" ht="57" customHeight="1" thickBot="1">
      <c r="C22" s="59" t="s">
        <v>4</v>
      </c>
      <c r="D22" s="182" t="s">
        <v>5</v>
      </c>
      <c r="E22" s="182"/>
      <c r="F22" s="41" t="s">
        <v>27</v>
      </c>
      <c r="G22" s="42" t="s">
        <v>154</v>
      </c>
      <c r="H22" s="40" t="s">
        <v>34</v>
      </c>
      <c r="I22" s="41" t="s">
        <v>36</v>
      </c>
      <c r="J22" s="41" t="s">
        <v>37</v>
      </c>
      <c r="K22" s="42" t="s">
        <v>115</v>
      </c>
    </row>
    <row r="23" spans="2:11" ht="33" customHeight="1" thickBot="1">
      <c r="B23" s="114" t="str">
        <f>CONCATENATE($B$11+0.2)</f>
        <v>0.2</v>
      </c>
      <c r="C23" s="44" t="s">
        <v>160</v>
      </c>
      <c r="D23" s="115" t="str">
        <f>CONCATENATE(B23,"a")</f>
        <v>0.2a</v>
      </c>
      <c r="E23" s="44" t="s">
        <v>161</v>
      </c>
      <c r="F23" s="44" t="s">
        <v>158</v>
      </c>
      <c r="G23" s="44">
        <v>20.2</v>
      </c>
      <c r="H23" s="44">
        <v>0.8</v>
      </c>
      <c r="I23" s="158">
        <v>8.3289953149401352E-3</v>
      </c>
      <c r="J23" s="44">
        <v>0</v>
      </c>
      <c r="K23" s="153">
        <f>IFERROR(IF(ISBLANK(J23),"",(IF(J23&lt;H23,J23/H23,1)-IF(I23&lt;H23,I23/H23,1)))*(G23),"Not calculated")</f>
        <v>-0.21030713170223841</v>
      </c>
    </row>
    <row r="24" spans="2:11" ht="33" customHeight="1" thickBot="1">
      <c r="B24" s="12"/>
      <c r="C24" s="38"/>
      <c r="D24" s="116" t="str">
        <f>CONCATENATE(B23,"b")</f>
        <v>0.2b</v>
      </c>
      <c r="E24" s="44"/>
      <c r="F24" s="44"/>
      <c r="G24" s="44"/>
      <c r="H24" s="44"/>
      <c r="I24" s="44"/>
      <c r="J24" s="44"/>
      <c r="K24" s="153" t="str">
        <f>IFERROR(IF(ISBLANK(J24),"",(IF(J24&lt;H24,J24/H24,1)-IF(I24&lt;H24,I24/H24,1)))*(G24),"Not calculated")</f>
        <v>Not calculated</v>
      </c>
    </row>
    <row r="25" spans="2:11" ht="33" customHeight="1" thickBot="1">
      <c r="B25" s="12"/>
      <c r="C25" s="39"/>
      <c r="D25" s="116" t="str">
        <f>CONCATENATE(B23,"c")</f>
        <v>0.2c</v>
      </c>
      <c r="E25" s="44"/>
      <c r="F25" s="44"/>
      <c r="G25" s="44"/>
      <c r="H25" s="44"/>
      <c r="I25" s="44"/>
      <c r="J25" s="44"/>
      <c r="K25" s="153" t="str">
        <f>IFERROR(IF(ISBLANK(J25),"",(IF(J25&lt;H25,J25/H25,1)-IF(I25&lt;H25,I25/H25,1)))*(G25),"Not calculated")</f>
        <v>Not calculated</v>
      </c>
    </row>
    <row r="26" spans="2:11" ht="33" customHeight="1" thickBot="1">
      <c r="B26" s="12"/>
      <c r="C26" s="39"/>
      <c r="D26" s="116" t="str">
        <f>CONCATENATE(B23,"d")</f>
        <v>0.2d</v>
      </c>
      <c r="E26" s="44"/>
      <c r="F26" s="44"/>
      <c r="G26" s="44"/>
      <c r="H26" s="44"/>
      <c r="I26" s="44"/>
      <c r="J26" s="44"/>
      <c r="K26" s="153" t="str">
        <f>IFERROR(IF(ISBLANK(J26),"",(IF(J26&lt;H26,J26/H26,1)-IF(I26&lt;H26,I26/H26,1)))*(G26),"Not calculated")</f>
        <v>Not calculated</v>
      </c>
    </row>
    <row r="27" spans="2:11" ht="33" customHeight="1" thickBot="1">
      <c r="B27" s="12"/>
      <c r="C27" s="39"/>
      <c r="D27" s="116" t="str">
        <f>CONCATENATE(B23,"e")</f>
        <v>0.2e</v>
      </c>
      <c r="E27" s="44"/>
      <c r="F27" s="44"/>
      <c r="G27" s="44"/>
      <c r="H27" s="44"/>
      <c r="I27" s="44"/>
      <c r="J27" s="44"/>
      <c r="K27" s="153" t="str">
        <f>IFERROR(IF(ISBLANK(J27),"",(IF(J27&lt;H27,J27/H27,1)-IF(I27&lt;H27,I27/H27,1)))*(G27),"Not calculated")</f>
        <v>Not calculated</v>
      </c>
    </row>
    <row r="28" spans="2:11" ht="27.95" customHeight="1" thickBot="1">
      <c r="B28" s="12"/>
      <c r="C28" s="13"/>
      <c r="D28" s="13"/>
      <c r="E28" s="13"/>
      <c r="F28" s="13"/>
      <c r="G28" s="13"/>
      <c r="H28" s="13"/>
      <c r="I28" s="13"/>
      <c r="J28" s="13"/>
      <c r="K28" s="62"/>
    </row>
    <row r="29" spans="2:11" ht="90" customHeight="1">
      <c r="B29" s="12"/>
      <c r="C29" s="179" t="s">
        <v>35</v>
      </c>
      <c r="D29" s="180"/>
      <c r="E29" s="180"/>
      <c r="F29" s="180"/>
      <c r="G29" s="181"/>
      <c r="H29" s="176" t="s">
        <v>79</v>
      </c>
      <c r="I29" s="177"/>
      <c r="J29" s="177"/>
      <c r="K29" s="178"/>
    </row>
    <row r="30" spans="2:11" s="60" customFormat="1" ht="57" customHeight="1" thickBot="1">
      <c r="C30" s="59" t="s">
        <v>4</v>
      </c>
      <c r="D30" s="182" t="s">
        <v>5</v>
      </c>
      <c r="E30" s="182"/>
      <c r="F30" s="41" t="s">
        <v>27</v>
      </c>
      <c r="G30" s="42" t="s">
        <v>146</v>
      </c>
      <c r="H30" s="40" t="s">
        <v>34</v>
      </c>
      <c r="I30" s="41" t="s">
        <v>36</v>
      </c>
      <c r="J30" s="41" t="s">
        <v>37</v>
      </c>
      <c r="K30" s="42" t="s">
        <v>115</v>
      </c>
    </row>
    <row r="31" spans="2:11" ht="33" customHeight="1" thickBot="1">
      <c r="B31" s="114" t="str">
        <f>CONCATENATE($B$11+0.3)</f>
        <v>0.3</v>
      </c>
      <c r="C31" s="44"/>
      <c r="D31" s="115" t="str">
        <f>CONCATENATE(B31,"a")</f>
        <v>0.3a</v>
      </c>
      <c r="E31" s="44"/>
      <c r="F31" s="44"/>
      <c r="G31" s="44"/>
      <c r="H31" s="44"/>
      <c r="I31" s="44"/>
      <c r="J31" s="44">
        <v>0</v>
      </c>
      <c r="K31" s="153">
        <f>IFERROR(IF(ISBLANK(J31),"",(IF(J31&lt;H31,J31/H31,1)-IF(I31&lt;H31,I31/H31,1)))*(G31),"Not calculated")</f>
        <v>0</v>
      </c>
    </row>
    <row r="32" spans="2:11" ht="33" customHeight="1" thickBot="1">
      <c r="B32" s="12"/>
      <c r="C32" s="38"/>
      <c r="D32" s="116" t="str">
        <f>CONCATENATE(B31,"b")</f>
        <v>0.3b</v>
      </c>
      <c r="E32" s="44"/>
      <c r="F32" s="44"/>
      <c r="G32" s="44"/>
      <c r="H32" s="44"/>
      <c r="I32" s="44"/>
      <c r="J32" s="44"/>
      <c r="K32" s="153" t="str">
        <f>IFERROR(IF(ISBLANK(J32),"",(IF(J32&lt;H32,J32/H32,1)-IF(I32&lt;H32,I32/H32,1)))*(G32),"Not calculated")</f>
        <v>Not calculated</v>
      </c>
    </row>
    <row r="33" spans="2:11" ht="33" customHeight="1" thickBot="1">
      <c r="B33" s="12"/>
      <c r="C33" s="39"/>
      <c r="D33" s="116" t="str">
        <f>CONCATENATE(B31,"c")</f>
        <v>0.3c</v>
      </c>
      <c r="E33" s="44"/>
      <c r="F33" s="44"/>
      <c r="G33" s="44"/>
      <c r="H33" s="44"/>
      <c r="I33" s="44"/>
      <c r="J33" s="44"/>
      <c r="K33" s="153" t="str">
        <f>IFERROR(IF(ISBLANK(J33),"",(IF(J33&lt;H33,J33/H33,1)-IF(I33&lt;H33,I33/H33,1)))*(G33),"Not calculated")</f>
        <v>Not calculated</v>
      </c>
    </row>
    <row r="34" spans="2:11" ht="33" customHeight="1" thickBot="1">
      <c r="B34" s="12"/>
      <c r="C34" s="39"/>
      <c r="D34" s="116" t="str">
        <f>CONCATENATE(B31,"d")</f>
        <v>0.3d</v>
      </c>
      <c r="E34" s="44"/>
      <c r="F34" s="44"/>
      <c r="G34" s="44"/>
      <c r="H34" s="44"/>
      <c r="I34" s="44"/>
      <c r="J34" s="44"/>
      <c r="K34" s="153" t="str">
        <f>IFERROR(IF(ISBLANK(J34),"",(IF(J34&lt;H34,J34/H34,1)-IF(I34&lt;H34,I34/H34,1)))*(G34),"Not calculated")</f>
        <v>Not calculated</v>
      </c>
    </row>
    <row r="35" spans="2:11" ht="33" customHeight="1" thickBot="1">
      <c r="B35" s="12"/>
      <c r="C35" s="39"/>
      <c r="D35" s="116" t="str">
        <f>CONCATENATE(B31,"e")</f>
        <v>0.3e</v>
      </c>
      <c r="E35" s="44"/>
      <c r="F35" s="44"/>
      <c r="G35" s="44"/>
      <c r="H35" s="44"/>
      <c r="I35" s="44"/>
      <c r="J35" s="44"/>
      <c r="K35" s="153" t="str">
        <f>IFERROR(IF(ISBLANK(J35),"",(IF(J35&lt;H35,J35/H35,1)-IF(I35&lt;H35,I35/H35,1)))*(G35),"Not calculated")</f>
        <v>Not calculated</v>
      </c>
    </row>
    <row r="36" spans="2:11" ht="27.95" customHeight="1" thickBot="1">
      <c r="B36" s="12"/>
      <c r="C36" s="13"/>
      <c r="D36" s="13"/>
      <c r="E36" s="13"/>
      <c r="F36" s="13"/>
      <c r="G36" s="13"/>
      <c r="H36" s="13"/>
      <c r="I36" s="13"/>
      <c r="J36" s="13"/>
      <c r="K36" s="62"/>
    </row>
    <row r="37" spans="2:11" ht="90" customHeight="1">
      <c r="B37" s="12"/>
      <c r="C37" s="179" t="s">
        <v>35</v>
      </c>
      <c r="D37" s="180"/>
      <c r="E37" s="180"/>
      <c r="F37" s="180"/>
      <c r="G37" s="181"/>
      <c r="H37" s="176" t="s">
        <v>79</v>
      </c>
      <c r="I37" s="177"/>
      <c r="J37" s="177"/>
      <c r="K37" s="178"/>
    </row>
    <row r="38" spans="2:11" s="60" customFormat="1" ht="57" customHeight="1" thickBot="1">
      <c r="C38" s="59" t="s">
        <v>4</v>
      </c>
      <c r="D38" s="182" t="s">
        <v>5</v>
      </c>
      <c r="E38" s="182"/>
      <c r="F38" s="41" t="s">
        <v>27</v>
      </c>
      <c r="G38" s="42" t="s">
        <v>146</v>
      </c>
      <c r="H38" s="40" t="s">
        <v>34</v>
      </c>
      <c r="I38" s="41" t="s">
        <v>147</v>
      </c>
      <c r="J38" s="41" t="s">
        <v>37</v>
      </c>
      <c r="K38" s="42" t="s">
        <v>115</v>
      </c>
    </row>
    <row r="39" spans="2:11" ht="33" customHeight="1" thickBot="1">
      <c r="B39" s="114" t="str">
        <f>CONCATENATE($B$11+0.4)</f>
        <v>0.4</v>
      </c>
      <c r="C39" s="44"/>
      <c r="D39" s="115" t="str">
        <f>CONCATENATE(B39,"a")</f>
        <v>0.4a</v>
      </c>
      <c r="E39" s="44"/>
      <c r="F39" s="44"/>
      <c r="G39" s="44"/>
      <c r="H39" s="44"/>
      <c r="I39" s="44"/>
      <c r="J39" s="44"/>
      <c r="K39" s="153" t="str">
        <f>IFERROR(IF(ISBLANK(J39),"",(IF(J39&lt;H39,J39/H39,1)-IF(I39&lt;H39,I39/H39,1)))*(G39),"Not calculated")</f>
        <v>Not calculated</v>
      </c>
    </row>
    <row r="40" spans="2:11" ht="33" customHeight="1" thickBot="1">
      <c r="B40" s="12"/>
      <c r="C40" s="38"/>
      <c r="D40" s="116" t="str">
        <f>CONCATENATE(B39,"b")</f>
        <v>0.4b</v>
      </c>
      <c r="E40" s="44"/>
      <c r="F40" s="44"/>
      <c r="G40" s="44"/>
      <c r="H40" s="44"/>
      <c r="I40" s="44"/>
      <c r="J40" s="44"/>
      <c r="K40" s="153" t="str">
        <f>IFERROR(IF(ISBLANK(J40),"",(IF(J40&lt;H40,J40/H40,1)-IF(I40&lt;H40,I40/H40,1)))*(G40),"Not calculated")</f>
        <v>Not calculated</v>
      </c>
    </row>
    <row r="41" spans="2:11" ht="33" customHeight="1" thickBot="1">
      <c r="B41" s="12"/>
      <c r="C41" s="39"/>
      <c r="D41" s="116" t="str">
        <f>CONCATENATE(B39,"c")</f>
        <v>0.4c</v>
      </c>
      <c r="E41" s="44"/>
      <c r="F41" s="44"/>
      <c r="G41" s="44"/>
      <c r="H41" s="44"/>
      <c r="I41" s="44"/>
      <c r="J41" s="44"/>
      <c r="K41" s="153" t="str">
        <f>IFERROR(IF(ISBLANK(J41),"",(IF(J41&lt;H41,J41/H41,1)-IF(I41&lt;H41,I41/H41,1)))*(G41),"Not calculated")</f>
        <v>Not calculated</v>
      </c>
    </row>
    <row r="42" spans="2:11" ht="33" customHeight="1" thickBot="1">
      <c r="B42" s="12"/>
      <c r="C42" s="39"/>
      <c r="D42" s="116" t="str">
        <f>CONCATENATE(B39,"d")</f>
        <v>0.4d</v>
      </c>
      <c r="E42" s="44"/>
      <c r="F42" s="44"/>
      <c r="G42" s="44"/>
      <c r="H42" s="44"/>
      <c r="I42" s="44"/>
      <c r="J42" s="44"/>
      <c r="K42" s="153" t="str">
        <f>IFERROR(IF(ISBLANK(J42),"",(IF(J42&lt;H42,J42/H42,1)-IF(I42&lt;H42,I42/H42,1)))*(G42),"Not calculated")</f>
        <v>Not calculated</v>
      </c>
    </row>
    <row r="43" spans="2:11" ht="33" customHeight="1" thickBot="1">
      <c r="B43" s="12"/>
      <c r="C43" s="39"/>
      <c r="D43" s="116" t="str">
        <f>CONCATENATE(B39,"e")</f>
        <v>0.4e</v>
      </c>
      <c r="E43" s="44"/>
      <c r="F43" s="44"/>
      <c r="G43" s="44"/>
      <c r="H43" s="44"/>
      <c r="I43" s="44"/>
      <c r="J43" s="44"/>
      <c r="K43" s="153" t="str">
        <f>IFERROR(IF(ISBLANK(J43),"",(IF(J43&lt;H43,J43/H43,1)-IF(I43&lt;H43,I43/H43,1)))*(G43),"Not calculated")</f>
        <v>Not calculated</v>
      </c>
    </row>
    <row r="44" spans="2:11" ht="27.95" customHeight="1" thickBot="1">
      <c r="B44" s="12"/>
      <c r="C44" s="13"/>
      <c r="D44" s="13"/>
      <c r="E44" s="13"/>
      <c r="F44" s="13"/>
      <c r="G44" s="13"/>
      <c r="H44" s="13"/>
      <c r="I44" s="13"/>
      <c r="J44" s="13"/>
      <c r="K44" s="62"/>
    </row>
    <row r="45" spans="2:11" ht="90" customHeight="1">
      <c r="B45" s="12"/>
      <c r="C45" s="179" t="s">
        <v>35</v>
      </c>
      <c r="D45" s="180"/>
      <c r="E45" s="180"/>
      <c r="F45" s="180"/>
      <c r="G45" s="181"/>
      <c r="H45" s="176" t="s">
        <v>79</v>
      </c>
      <c r="I45" s="177"/>
      <c r="J45" s="177"/>
      <c r="K45" s="178"/>
    </row>
    <row r="46" spans="2:11" s="60" customFormat="1" ht="57" customHeight="1" thickBot="1">
      <c r="C46" s="59" t="s">
        <v>4</v>
      </c>
      <c r="D46" s="182" t="s">
        <v>5</v>
      </c>
      <c r="E46" s="182"/>
      <c r="F46" s="41" t="s">
        <v>27</v>
      </c>
      <c r="G46" s="42" t="s">
        <v>146</v>
      </c>
      <c r="H46" s="40" t="s">
        <v>34</v>
      </c>
      <c r="I46" s="41" t="s">
        <v>36</v>
      </c>
      <c r="J46" s="41" t="s">
        <v>37</v>
      </c>
      <c r="K46" s="42" t="s">
        <v>115</v>
      </c>
    </row>
    <row r="47" spans="2:11" ht="33" customHeight="1" thickBot="1">
      <c r="B47" s="114" t="str">
        <f>CONCATENATE($B$11+0.5)</f>
        <v>0.5</v>
      </c>
      <c r="C47" s="44"/>
      <c r="D47" s="115" t="str">
        <f>CONCATENATE(B47,"a")</f>
        <v>0.5a</v>
      </c>
      <c r="E47" s="44"/>
      <c r="F47" s="44"/>
      <c r="G47" s="44"/>
      <c r="H47" s="44"/>
      <c r="I47" s="44"/>
      <c r="J47" s="44"/>
      <c r="K47" s="153" t="str">
        <f>IFERROR(IF(ISBLANK(J47),"",(IF(J47&lt;H47,J47/H47,1)-IF(I47&lt;H47,I47/H47,1)))*(G47),"Not calculated")</f>
        <v>Not calculated</v>
      </c>
    </row>
    <row r="48" spans="2:11" ht="33" customHeight="1" thickBot="1">
      <c r="B48" s="12"/>
      <c r="C48" s="38"/>
      <c r="D48" s="116" t="str">
        <f>CONCATENATE(B47,"b")</f>
        <v>0.5b</v>
      </c>
      <c r="E48" s="44"/>
      <c r="F48" s="44"/>
      <c r="G48" s="44"/>
      <c r="H48" s="44"/>
      <c r="I48" s="44"/>
      <c r="J48" s="44"/>
      <c r="K48" s="153" t="str">
        <f>IFERROR(IF(ISBLANK(J48),"",(IF(J48&lt;H48,J48/H48,1)-IF(I48&lt;H48,I48/H48,1)))*(G48),"Not calculated")</f>
        <v>Not calculated</v>
      </c>
    </row>
    <row r="49" spans="2:11" ht="33" customHeight="1" thickBot="1">
      <c r="B49" s="12"/>
      <c r="C49" s="39"/>
      <c r="D49" s="116" t="str">
        <f>CONCATENATE(B47,"c")</f>
        <v>0.5c</v>
      </c>
      <c r="E49" s="44"/>
      <c r="F49" s="44"/>
      <c r="G49" s="44"/>
      <c r="H49" s="44"/>
      <c r="I49" s="44"/>
      <c r="J49" s="44"/>
      <c r="K49" s="153" t="str">
        <f>IFERROR(IF(ISBLANK(J49),"",(IF(J49&lt;H49,J49/H49,1)-IF(I49&lt;H49,I49/H49,1)))*(G49),"Not calculated")</f>
        <v>Not calculated</v>
      </c>
    </row>
    <row r="50" spans="2:11" ht="33" customHeight="1" thickBot="1">
      <c r="B50" s="12"/>
      <c r="C50" s="39"/>
      <c r="D50" s="116" t="str">
        <f>CONCATENATE(B47,"d")</f>
        <v>0.5d</v>
      </c>
      <c r="E50" s="44"/>
      <c r="F50" s="44"/>
      <c r="G50" s="44"/>
      <c r="H50" s="44"/>
      <c r="I50" s="44"/>
      <c r="J50" s="44"/>
      <c r="K50" s="153" t="str">
        <f>IFERROR(IF(ISBLANK(J50),"",(IF(J50&lt;H50,J50/H50,1)-IF(I50&lt;H50,I50/H50,1)))*(G50),"Not calculated")</f>
        <v>Not calculated</v>
      </c>
    </row>
    <row r="51" spans="2:11" ht="33" customHeight="1" thickBot="1">
      <c r="B51" s="12"/>
      <c r="C51" s="39"/>
      <c r="D51" s="116" t="str">
        <f>CONCATENATE(B47,"e")</f>
        <v>0.5e</v>
      </c>
      <c r="E51" s="44"/>
      <c r="F51" s="44"/>
      <c r="G51" s="44"/>
      <c r="H51" s="44"/>
      <c r="I51" s="44"/>
      <c r="J51" s="44"/>
      <c r="K51" s="153" t="str">
        <f>IFERROR(IF(ISBLANK(J51),"",(IF(J51&lt;H51,J51/H51,1)-IF(I51&lt;H51,I51/H51,1)))*(G51),"Not calculated")</f>
        <v>Not calculated</v>
      </c>
    </row>
    <row r="52" spans="2:11" ht="27.95" customHeight="1" thickBot="1">
      <c r="B52" s="12"/>
      <c r="C52" s="13"/>
      <c r="D52" s="13"/>
      <c r="E52" s="13"/>
      <c r="F52" s="13"/>
      <c r="G52" s="13"/>
      <c r="H52" s="13"/>
      <c r="I52" s="13"/>
      <c r="J52" s="13"/>
      <c r="K52" s="62"/>
    </row>
    <row r="53" spans="2:11" ht="90" customHeight="1">
      <c r="B53" s="12"/>
      <c r="C53" s="179" t="s">
        <v>35</v>
      </c>
      <c r="D53" s="180"/>
      <c r="E53" s="180"/>
      <c r="F53" s="180"/>
      <c r="G53" s="181"/>
      <c r="H53" s="176" t="s">
        <v>79</v>
      </c>
      <c r="I53" s="177"/>
      <c r="J53" s="177"/>
      <c r="K53" s="178"/>
    </row>
    <row r="54" spans="2:11" s="60" customFormat="1" ht="57" customHeight="1" thickBot="1">
      <c r="C54" s="59" t="s">
        <v>4</v>
      </c>
      <c r="D54" s="182" t="s">
        <v>5</v>
      </c>
      <c r="E54" s="182"/>
      <c r="F54" s="41" t="s">
        <v>27</v>
      </c>
      <c r="G54" s="42" t="s">
        <v>7</v>
      </c>
      <c r="H54" s="40" t="s">
        <v>34</v>
      </c>
      <c r="I54" s="41" t="s">
        <v>36</v>
      </c>
      <c r="J54" s="41" t="s">
        <v>37</v>
      </c>
      <c r="K54" s="42" t="s">
        <v>115</v>
      </c>
    </row>
    <row r="55" spans="2:11" ht="33" customHeight="1" thickBot="1">
      <c r="B55" s="114" t="str">
        <f>CONCATENATE($B$11+0.6)</f>
        <v>0.6</v>
      </c>
      <c r="C55" s="44"/>
      <c r="D55" s="115" t="str">
        <f>CONCATENATE(B55,"a")</f>
        <v>0.6a</v>
      </c>
      <c r="E55" s="44"/>
      <c r="F55" s="44"/>
      <c r="G55" s="44"/>
      <c r="H55" s="44"/>
      <c r="I55" s="44"/>
      <c r="J55" s="44"/>
      <c r="K55" s="153" t="str">
        <f>IFERROR(IF(ISBLANK(J55),"",(IF(J55&lt;H55,J55/H55,1)-IF(I55&lt;H55,I55/H55,1)))*(G55),"Not calculated")</f>
        <v>Not calculated</v>
      </c>
    </row>
    <row r="56" spans="2:11" ht="33" customHeight="1" thickBot="1">
      <c r="B56" s="12"/>
      <c r="C56" s="38"/>
      <c r="D56" s="116" t="str">
        <f>CONCATENATE(B55,"b")</f>
        <v>0.6b</v>
      </c>
      <c r="E56" s="44"/>
      <c r="F56" s="44"/>
      <c r="G56" s="44"/>
      <c r="H56" s="44"/>
      <c r="I56" s="44"/>
      <c r="J56" s="44"/>
      <c r="K56" s="153" t="str">
        <f>IFERROR(IF(ISBLANK(J56),"",(IF(J56&lt;H56,J56/H56,1)-IF(I56&lt;H56,I56/H56,1)))*(G56),"Not calculated")</f>
        <v>Not calculated</v>
      </c>
    </row>
    <row r="57" spans="2:11" ht="33" customHeight="1" thickBot="1">
      <c r="B57" s="12"/>
      <c r="C57" s="39"/>
      <c r="D57" s="116" t="str">
        <f>CONCATENATE(B55,"c")</f>
        <v>0.6c</v>
      </c>
      <c r="E57" s="44"/>
      <c r="F57" s="44"/>
      <c r="G57" s="44"/>
      <c r="H57" s="44"/>
      <c r="I57" s="44"/>
      <c r="J57" s="44"/>
      <c r="K57" s="153" t="str">
        <f>IFERROR(IF(ISBLANK(J57),"",(IF(J57&lt;H57,J57/H57,1)-IF(I57&lt;H57,I57/H57,1)))*(G57),"Not calculated")</f>
        <v>Not calculated</v>
      </c>
    </row>
    <row r="58" spans="2:11" ht="33" customHeight="1" thickBot="1">
      <c r="B58" s="12"/>
      <c r="C58" s="39"/>
      <c r="D58" s="116" t="str">
        <f>CONCATENATE(B55,"d")</f>
        <v>0.6d</v>
      </c>
      <c r="E58" s="44"/>
      <c r="F58" s="44"/>
      <c r="G58" s="44"/>
      <c r="H58" s="44"/>
      <c r="I58" s="44"/>
      <c r="J58" s="44"/>
      <c r="K58" s="153" t="str">
        <f>IFERROR(IF(ISBLANK(J58),"",(IF(J58&lt;H58,J58/H58,1)-IF(I58&lt;H58,I58/H58,1)))*(G58),"Not calculated")</f>
        <v>Not calculated</v>
      </c>
    </row>
    <row r="59" spans="2:11" ht="33" customHeight="1" thickBot="1">
      <c r="B59" s="12"/>
      <c r="C59" s="39"/>
      <c r="D59" s="116" t="str">
        <f>CONCATENATE(B55,"e")</f>
        <v>0.6e</v>
      </c>
      <c r="E59" s="44"/>
      <c r="F59" s="44"/>
      <c r="G59" s="44"/>
      <c r="H59" s="44"/>
      <c r="I59" s="44"/>
      <c r="J59" s="44"/>
      <c r="K59" s="153" t="str">
        <f>IFERROR(IF(ISBLANK(J59),"",(IF(J59&lt;H59,J59/H59,1)-IF(I59&lt;H59,I59/H59,1)))*(G59),"Not calculated")</f>
        <v>Not calculated</v>
      </c>
    </row>
    <row r="60" spans="2:11" ht="27.95" customHeight="1" thickBot="1">
      <c r="B60" s="12"/>
      <c r="C60" s="13"/>
      <c r="D60" s="13"/>
      <c r="E60" s="13"/>
      <c r="F60" s="13"/>
      <c r="G60" s="13"/>
      <c r="H60" s="13"/>
      <c r="I60" s="13"/>
      <c r="J60" s="13"/>
      <c r="K60" s="62"/>
    </row>
    <row r="61" spans="2:11" ht="90" customHeight="1">
      <c r="B61" s="12"/>
      <c r="C61" s="179" t="s">
        <v>35</v>
      </c>
      <c r="D61" s="180"/>
      <c r="E61" s="180"/>
      <c r="F61" s="180"/>
      <c r="G61" s="181"/>
      <c r="H61" s="176" t="s">
        <v>79</v>
      </c>
      <c r="I61" s="177"/>
      <c r="J61" s="177"/>
      <c r="K61" s="178"/>
    </row>
    <row r="62" spans="2:11" s="60" customFormat="1" ht="57" customHeight="1" thickBot="1">
      <c r="C62" s="59" t="s">
        <v>4</v>
      </c>
      <c r="D62" s="182" t="s">
        <v>5</v>
      </c>
      <c r="E62" s="182"/>
      <c r="F62" s="41" t="s">
        <v>27</v>
      </c>
      <c r="G62" s="42" t="s">
        <v>7</v>
      </c>
      <c r="H62" s="40" t="s">
        <v>34</v>
      </c>
      <c r="I62" s="41" t="s">
        <v>36</v>
      </c>
      <c r="J62" s="41" t="s">
        <v>37</v>
      </c>
      <c r="K62" s="42" t="s">
        <v>115</v>
      </c>
    </row>
    <row r="63" spans="2:11" ht="33" customHeight="1" thickBot="1">
      <c r="B63" s="114" t="str">
        <f>CONCATENATE($B$11+0.7)</f>
        <v>0.7</v>
      </c>
      <c r="C63" s="44"/>
      <c r="D63" s="115" t="str">
        <f>CONCATENATE(B63,"a")</f>
        <v>0.7a</v>
      </c>
      <c r="E63" s="44"/>
      <c r="F63" s="44"/>
      <c r="G63" s="44"/>
      <c r="H63" s="44"/>
      <c r="I63" s="44"/>
      <c r="J63" s="44"/>
      <c r="K63" s="153" t="str">
        <f>IFERROR(IF(ISBLANK(J63),"",(IF(J63&lt;H63,J63/H63,1)-IF(I63&lt;H63,I63/H63,1)))*(G63),"Not calculated")</f>
        <v>Not calculated</v>
      </c>
    </row>
    <row r="64" spans="2:11" ht="33" customHeight="1" thickBot="1">
      <c r="B64" s="12"/>
      <c r="C64" s="38"/>
      <c r="D64" s="116" t="str">
        <f>CONCATENATE(B63,"b")</f>
        <v>0.7b</v>
      </c>
      <c r="E64" s="44"/>
      <c r="F64" s="44"/>
      <c r="G64" s="44"/>
      <c r="H64" s="44"/>
      <c r="I64" s="44"/>
      <c r="J64" s="44"/>
      <c r="K64" s="153" t="str">
        <f>IFERROR(IF(ISBLANK(J64),"",(IF(J64&lt;H64,J64/H64,1)-IF(I64&lt;H64,I64/H64,1)))*(G64),"Not calculated")</f>
        <v>Not calculated</v>
      </c>
    </row>
    <row r="65" spans="2:11" ht="33" customHeight="1" thickBot="1">
      <c r="B65" s="12"/>
      <c r="C65" s="39"/>
      <c r="D65" s="116" t="str">
        <f>CONCATENATE(B63,"c")</f>
        <v>0.7c</v>
      </c>
      <c r="E65" s="44"/>
      <c r="F65" s="44"/>
      <c r="G65" s="44"/>
      <c r="H65" s="44"/>
      <c r="I65" s="44"/>
      <c r="J65" s="44"/>
      <c r="K65" s="153" t="str">
        <f>IFERROR(IF(ISBLANK(J65),"",(IF(J65&lt;H65,J65/H65,1)-IF(I65&lt;H65,I65/H65,1)))*(G65),"Not calculated")</f>
        <v>Not calculated</v>
      </c>
    </row>
    <row r="66" spans="2:11" ht="33" customHeight="1" thickBot="1">
      <c r="B66" s="12"/>
      <c r="C66" s="39"/>
      <c r="D66" s="116" t="str">
        <f>CONCATENATE(B63,"d")</f>
        <v>0.7d</v>
      </c>
      <c r="E66" s="44"/>
      <c r="F66" s="44"/>
      <c r="G66" s="44"/>
      <c r="H66" s="44"/>
      <c r="I66" s="44"/>
      <c r="J66" s="44"/>
      <c r="K66" s="153" t="str">
        <f>IFERROR(IF(ISBLANK(J66),"",(IF(J66&lt;H66,J66/H66,1)-IF(I66&lt;H66,I66/H66,1)))*(G66),"Not calculated")</f>
        <v>Not calculated</v>
      </c>
    </row>
    <row r="67" spans="2:11" ht="33" customHeight="1" thickBot="1">
      <c r="B67" s="12"/>
      <c r="C67" s="39"/>
      <c r="D67" s="116" t="str">
        <f>CONCATENATE(B63,"e")</f>
        <v>0.7e</v>
      </c>
      <c r="E67" s="44"/>
      <c r="F67" s="44"/>
      <c r="G67" s="44"/>
      <c r="H67" s="44"/>
      <c r="I67" s="44"/>
      <c r="J67" s="44"/>
      <c r="K67" s="153" t="str">
        <f>IFERROR(IF(ISBLANK(J67),"",(IF(J67&lt;H67,J67/H67,1)-IF(I67&lt;H67,I67/H67,1)))*(G67),"Not calculated")</f>
        <v>Not calculated</v>
      </c>
    </row>
    <row r="68" spans="2:11" ht="27.95" customHeight="1" thickBot="1">
      <c r="B68" s="12"/>
      <c r="C68" s="13"/>
      <c r="D68" s="13"/>
      <c r="E68" s="13"/>
      <c r="F68" s="13"/>
      <c r="G68" s="13"/>
      <c r="H68" s="13"/>
      <c r="I68" s="13"/>
      <c r="J68" s="13"/>
      <c r="K68" s="62"/>
    </row>
    <row r="69" spans="2:11" ht="90" customHeight="1">
      <c r="B69" s="12"/>
      <c r="C69" s="179" t="s">
        <v>35</v>
      </c>
      <c r="D69" s="180"/>
      <c r="E69" s="180"/>
      <c r="F69" s="180"/>
      <c r="G69" s="181"/>
      <c r="H69" s="176" t="s">
        <v>79</v>
      </c>
      <c r="I69" s="177"/>
      <c r="J69" s="177"/>
      <c r="K69" s="178"/>
    </row>
    <row r="70" spans="2:11" s="60" customFormat="1" ht="57" customHeight="1" thickBot="1">
      <c r="C70" s="59" t="s">
        <v>4</v>
      </c>
      <c r="D70" s="182" t="s">
        <v>5</v>
      </c>
      <c r="E70" s="182"/>
      <c r="F70" s="41" t="s">
        <v>27</v>
      </c>
      <c r="G70" s="42" t="s">
        <v>7</v>
      </c>
      <c r="H70" s="40" t="s">
        <v>34</v>
      </c>
      <c r="I70" s="41" t="s">
        <v>36</v>
      </c>
      <c r="J70" s="41" t="s">
        <v>37</v>
      </c>
      <c r="K70" s="42" t="s">
        <v>115</v>
      </c>
    </row>
    <row r="71" spans="2:11" ht="33" customHeight="1" thickBot="1">
      <c r="B71" s="114" t="str">
        <f>CONCATENATE($B$11+0.8)</f>
        <v>0.8</v>
      </c>
      <c r="C71" s="44"/>
      <c r="D71" s="115" t="str">
        <f>CONCATENATE(B71,"a")</f>
        <v>0.8a</v>
      </c>
      <c r="E71" s="44"/>
      <c r="F71" s="44"/>
      <c r="G71" s="44"/>
      <c r="H71" s="44"/>
      <c r="I71" s="44"/>
      <c r="J71" s="44"/>
      <c r="K71" s="153" t="str">
        <f>IFERROR(IF(ISBLANK(J71),"",(IF(J71&lt;H71,J71/H71,1)-IF(I71&lt;H71,I71/H71,1)))*(G71),"Not calculated")</f>
        <v>Not calculated</v>
      </c>
    </row>
    <row r="72" spans="2:11" ht="33" customHeight="1" thickBot="1">
      <c r="B72" s="12"/>
      <c r="C72" s="38"/>
      <c r="D72" s="116" t="str">
        <f>CONCATENATE(B71,"b")</f>
        <v>0.8b</v>
      </c>
      <c r="E72" s="44"/>
      <c r="F72" s="44"/>
      <c r="G72" s="44"/>
      <c r="H72" s="44"/>
      <c r="I72" s="44"/>
      <c r="J72" s="44"/>
      <c r="K72" s="153" t="str">
        <f>IFERROR(IF(ISBLANK(J72),"",(IF(J72&lt;H72,J72/H72,1)-IF(I72&lt;H72,I72/H72,1)))*(G72),"Not calculated")</f>
        <v>Not calculated</v>
      </c>
    </row>
    <row r="73" spans="2:11" ht="33" customHeight="1" thickBot="1">
      <c r="B73" s="12"/>
      <c r="C73" s="39"/>
      <c r="D73" s="116" t="str">
        <f>CONCATENATE(B71,"c")</f>
        <v>0.8c</v>
      </c>
      <c r="E73" s="44"/>
      <c r="F73" s="44"/>
      <c r="G73" s="44"/>
      <c r="H73" s="44"/>
      <c r="I73" s="44"/>
      <c r="J73" s="44"/>
      <c r="K73" s="153" t="str">
        <f>IFERROR(IF(ISBLANK(J73),"",(IF(J73&lt;H73,J73/H73,1)-IF(I73&lt;H73,I73/H73,1)))*(G73),"Not calculated")</f>
        <v>Not calculated</v>
      </c>
    </row>
    <row r="74" spans="2:11" ht="33" customHeight="1" thickBot="1">
      <c r="B74" s="12"/>
      <c r="C74" s="39"/>
      <c r="D74" s="116" t="str">
        <f>CONCATENATE(B71,"d")</f>
        <v>0.8d</v>
      </c>
      <c r="E74" s="44"/>
      <c r="F74" s="44"/>
      <c r="G74" s="44"/>
      <c r="H74" s="44"/>
      <c r="I74" s="44"/>
      <c r="J74" s="44"/>
      <c r="K74" s="153" t="str">
        <f>IFERROR(IF(ISBLANK(J74),"",(IF(J74&lt;H74,J74/H74,1)-IF(I74&lt;H74,I74/H74,1)))*(G74),"Not calculated")</f>
        <v>Not calculated</v>
      </c>
    </row>
    <row r="75" spans="2:11" ht="33" customHeight="1" thickBot="1">
      <c r="B75" s="12"/>
      <c r="C75" s="39"/>
      <c r="D75" s="116" t="str">
        <f>CONCATENATE(B71,"e")</f>
        <v>0.8e</v>
      </c>
      <c r="E75" s="44"/>
      <c r="F75" s="44"/>
      <c r="G75" s="44"/>
      <c r="H75" s="44"/>
      <c r="I75" s="44"/>
      <c r="J75" s="44"/>
      <c r="K75" s="153" t="str">
        <f>IFERROR(IF(ISBLANK(J75),"",(IF(J75&lt;H75,J75/H75,1)-IF(I75&lt;H75,I75/H75,1)))*(G75),"Not calculated")</f>
        <v>Not calculated</v>
      </c>
    </row>
    <row r="76" spans="2:11" ht="27.95" customHeight="1" thickBot="1">
      <c r="B76" s="12"/>
      <c r="C76" s="13"/>
      <c r="D76" s="13"/>
      <c r="E76" s="13"/>
      <c r="F76" s="13"/>
      <c r="G76" s="13"/>
      <c r="H76" s="13"/>
      <c r="I76" s="13"/>
      <c r="J76" s="13"/>
      <c r="K76" s="62"/>
    </row>
    <row r="77" spans="2:11" ht="90" customHeight="1">
      <c r="B77" s="12"/>
      <c r="C77" s="179" t="s">
        <v>35</v>
      </c>
      <c r="D77" s="180"/>
      <c r="E77" s="180"/>
      <c r="F77" s="180"/>
      <c r="G77" s="181"/>
      <c r="H77" s="179" t="s">
        <v>79</v>
      </c>
      <c r="I77" s="180"/>
      <c r="J77" s="180"/>
      <c r="K77" s="181"/>
    </row>
    <row r="78" spans="2:11" s="60" customFormat="1" ht="57" customHeight="1" thickBot="1">
      <c r="C78" s="59" t="s">
        <v>4</v>
      </c>
      <c r="D78" s="182" t="s">
        <v>5</v>
      </c>
      <c r="E78" s="182"/>
      <c r="F78" s="41" t="s">
        <v>27</v>
      </c>
      <c r="G78" s="42" t="s">
        <v>7</v>
      </c>
      <c r="H78" s="40" t="s">
        <v>34</v>
      </c>
      <c r="I78" s="63" t="s">
        <v>38</v>
      </c>
      <c r="J78" s="64" t="s">
        <v>39</v>
      </c>
      <c r="K78" s="42" t="s">
        <v>115</v>
      </c>
    </row>
    <row r="79" spans="2:11" ht="33" customHeight="1" thickBot="1">
      <c r="B79" s="114" t="str">
        <f>CONCATENATE($B$11+0.9)</f>
        <v>0.9</v>
      </c>
      <c r="C79" s="44"/>
      <c r="D79" s="115" t="str">
        <f>CONCATENATE(B79,"a")</f>
        <v>0.9a</v>
      </c>
      <c r="E79" s="44"/>
      <c r="F79" s="44"/>
      <c r="G79" s="44"/>
      <c r="H79" s="44"/>
      <c r="I79" s="44"/>
      <c r="J79" s="44"/>
      <c r="K79" s="153" t="str">
        <f>IFERROR(IF(ISBLANK(J79),"",(IF(J79&lt;H79,J79/H79,1)-IF(I79&lt;H79,I79/H79,1)))*(G79),"Not calculated")</f>
        <v>Not calculated</v>
      </c>
    </row>
    <row r="80" spans="2:11" ht="33" customHeight="1" thickBot="1">
      <c r="B80" s="12"/>
      <c r="C80" s="38"/>
      <c r="D80" s="116" t="str">
        <f>CONCATENATE(B79,"b")</f>
        <v>0.9b</v>
      </c>
      <c r="E80" s="44"/>
      <c r="F80" s="44"/>
      <c r="G80" s="44"/>
      <c r="H80" s="44"/>
      <c r="I80" s="44"/>
      <c r="J80" s="44"/>
      <c r="K80" s="153" t="str">
        <f>IFERROR(IF(ISBLANK(J80),"",(IF(J80&lt;H80,J80/H80,1)-IF(I80&lt;H80,I80/H80,1)))*(G80),"Not calculated")</f>
        <v>Not calculated</v>
      </c>
    </row>
    <row r="81" spans="2:11" ht="33" customHeight="1" thickBot="1">
      <c r="B81" s="12"/>
      <c r="C81" s="39"/>
      <c r="D81" s="116" t="str">
        <f>CONCATENATE(B79,"c")</f>
        <v>0.9c</v>
      </c>
      <c r="E81" s="44"/>
      <c r="F81" s="44"/>
      <c r="G81" s="44"/>
      <c r="H81" s="44"/>
      <c r="I81" s="44"/>
      <c r="J81" s="44"/>
      <c r="K81" s="153" t="str">
        <f>IFERROR(IF(ISBLANK(J81),"",(IF(J81&lt;H81,J81/H81,1)-IF(I81&lt;H81,I81/H81,1)))*(G81),"Not calculated")</f>
        <v>Not calculated</v>
      </c>
    </row>
    <row r="82" spans="2:11" ht="33" customHeight="1" thickBot="1">
      <c r="B82" s="12"/>
      <c r="C82" s="39"/>
      <c r="D82" s="116" t="str">
        <f>CONCATENATE(B79,"d")</f>
        <v>0.9d</v>
      </c>
      <c r="E82" s="44"/>
      <c r="F82" s="44"/>
      <c r="G82" s="44"/>
      <c r="H82" s="44"/>
      <c r="I82" s="44"/>
      <c r="J82" s="44"/>
      <c r="K82" s="153" t="str">
        <f>IFERROR(IF(ISBLANK(J82),"",(IF(J82&lt;H82,J82/H82,1)-IF(I82&lt;H82,I82/H82,1)))*(G82),"Not calculated")</f>
        <v>Not calculated</v>
      </c>
    </row>
    <row r="83" spans="2:11" ht="33" customHeight="1" thickBot="1">
      <c r="B83" s="12"/>
      <c r="C83" s="39"/>
      <c r="D83" s="116" t="str">
        <f>CONCATENATE(B79,"e")</f>
        <v>0.9e</v>
      </c>
      <c r="E83" s="44"/>
      <c r="F83" s="44"/>
      <c r="G83" s="44"/>
      <c r="H83" s="44"/>
      <c r="I83" s="44"/>
      <c r="J83" s="44"/>
      <c r="K83" s="153" t="str">
        <f>IFERROR(IF(ISBLANK(J83),"",(IF(J83&lt;H83,J83/H83,1)-IF(I83&lt;H83,I83/H83,1)))*(G83),"Not calculated")</f>
        <v>Not calculated</v>
      </c>
    </row>
    <row r="84" spans="2:11" ht="27.95" customHeight="1" thickBot="1">
      <c r="B84" s="12"/>
      <c r="C84" s="13"/>
      <c r="D84" s="13"/>
      <c r="E84" s="13"/>
      <c r="F84" s="13"/>
      <c r="G84" s="13"/>
      <c r="H84" s="13"/>
      <c r="I84" s="13"/>
      <c r="J84" s="13"/>
      <c r="K84" s="62"/>
    </row>
    <row r="85" spans="2:11" ht="90" customHeight="1">
      <c r="B85" s="12"/>
      <c r="C85" s="179" t="s">
        <v>35</v>
      </c>
      <c r="D85" s="180"/>
      <c r="E85" s="180"/>
      <c r="F85" s="180"/>
      <c r="G85" s="181"/>
      <c r="H85" s="179" t="s">
        <v>79</v>
      </c>
      <c r="I85" s="180"/>
      <c r="J85" s="180"/>
      <c r="K85" s="181"/>
    </row>
    <row r="86" spans="2:11" s="60" customFormat="1" ht="57" customHeight="1" thickBot="1">
      <c r="C86" s="59" t="s">
        <v>4</v>
      </c>
      <c r="D86" s="182" t="s">
        <v>5</v>
      </c>
      <c r="E86" s="182"/>
      <c r="F86" s="41" t="s">
        <v>27</v>
      </c>
      <c r="G86" s="42" t="s">
        <v>7</v>
      </c>
      <c r="H86" s="40" t="s">
        <v>34</v>
      </c>
      <c r="I86" s="63" t="s">
        <v>38</v>
      </c>
      <c r="J86" s="64" t="s">
        <v>39</v>
      </c>
      <c r="K86" s="42" t="s">
        <v>115</v>
      </c>
    </row>
    <row r="87" spans="2:11" ht="33" customHeight="1" thickBot="1">
      <c r="B87" s="114" t="str">
        <f>$B$11&amp;TEXT(".10",".00")</f>
        <v>.10</v>
      </c>
      <c r="C87" s="44"/>
      <c r="D87" s="115" t="str">
        <f>CONCATENATE(B87,"a")</f>
        <v>.10a</v>
      </c>
      <c r="E87" s="44"/>
      <c r="F87" s="44"/>
      <c r="G87" s="44"/>
      <c r="H87" s="44"/>
      <c r="I87" s="44"/>
      <c r="J87" s="44"/>
      <c r="K87" s="153" t="str">
        <f>IFERROR(IF(ISBLANK(J87),"",(IF(J87&lt;H87,J87/H87,1)-IF(I87&lt;H87,I87/H87,1)))*(G87),"Not calculated")</f>
        <v>Not calculated</v>
      </c>
    </row>
    <row r="88" spans="2:11" ht="33" customHeight="1" thickBot="1">
      <c r="B88" s="12"/>
      <c r="C88" s="38"/>
      <c r="D88" s="115" t="str">
        <f>CONCATENATE(B87,"b")</f>
        <v>.10b</v>
      </c>
      <c r="E88" s="44"/>
      <c r="F88" s="44"/>
      <c r="G88" s="44"/>
      <c r="H88" s="44"/>
      <c r="I88" s="44"/>
      <c r="J88" s="44"/>
      <c r="K88" s="153" t="str">
        <f>IFERROR(IF(ISBLANK(J88),"",(IF(J88&lt;H88,J88/H88,1)-IF(I88&lt;H88,I88/H88,1)))*(G88),"Not calculated")</f>
        <v>Not calculated</v>
      </c>
    </row>
    <row r="89" spans="2:11" ht="33" customHeight="1" thickBot="1">
      <c r="B89" s="12"/>
      <c r="C89" s="39"/>
      <c r="D89" s="115" t="str">
        <f>CONCATENATE(B87,"c")</f>
        <v>.10c</v>
      </c>
      <c r="E89" s="44"/>
      <c r="F89" s="44"/>
      <c r="G89" s="44"/>
      <c r="H89" s="44"/>
      <c r="I89" s="44"/>
      <c r="J89" s="44"/>
      <c r="K89" s="153" t="str">
        <f>IFERROR(IF(ISBLANK(J89),"",(IF(J89&lt;H89,J89/H89,1)-IF(I89&lt;H89,I89/H89,1)))*(G89),"Not calculated")</f>
        <v>Not calculated</v>
      </c>
    </row>
    <row r="90" spans="2:11" ht="33" customHeight="1" thickBot="1">
      <c r="B90" s="12"/>
      <c r="C90" s="39"/>
      <c r="D90" s="115" t="str">
        <f>CONCATENATE(B87,"d")</f>
        <v>.10d</v>
      </c>
      <c r="E90" s="44"/>
      <c r="F90" s="44"/>
      <c r="G90" s="44"/>
      <c r="H90" s="44"/>
      <c r="I90" s="44"/>
      <c r="J90" s="44"/>
      <c r="K90" s="153" t="str">
        <f>IFERROR(IF(ISBLANK(J90),"",(IF(J90&lt;H90,J90/H90,1)-IF(I90&lt;H90,I90/H90,1)))*(G90),"Not calculated")</f>
        <v>Not calculated</v>
      </c>
    </row>
    <row r="91" spans="2:11" ht="33" customHeight="1" thickBot="1">
      <c r="B91" s="12"/>
      <c r="C91" s="39"/>
      <c r="D91" s="115" t="str">
        <f>CONCATENATE(B87,"e")</f>
        <v>.10e</v>
      </c>
      <c r="E91" s="44"/>
      <c r="F91" s="44"/>
      <c r="G91" s="44"/>
      <c r="H91" s="44"/>
      <c r="I91" s="44"/>
      <c r="J91" s="44"/>
      <c r="K91" s="153" t="str">
        <f>IFERROR(IF(ISBLANK(J91),"",(IF(J91&lt;H91,J91/H91,1)-IF(I91&lt;H91,I91/H91,1)))*(G91),"Not calculated")</f>
        <v>Not calculated</v>
      </c>
    </row>
    <row r="92" spans="2:11" ht="27.95" customHeight="1" thickBot="1">
      <c r="B92" s="12"/>
      <c r="C92" s="13"/>
      <c r="D92" s="13"/>
      <c r="E92" s="13"/>
      <c r="F92" s="13"/>
      <c r="G92" s="13"/>
      <c r="H92" s="13"/>
      <c r="I92" s="13"/>
      <c r="J92" s="13"/>
      <c r="K92" s="62"/>
    </row>
    <row r="93" spans="2:11" ht="90" customHeight="1">
      <c r="B93" s="12"/>
      <c r="C93" s="179" t="s">
        <v>35</v>
      </c>
      <c r="D93" s="180"/>
      <c r="E93" s="180"/>
      <c r="F93" s="180"/>
      <c r="G93" s="181"/>
      <c r="H93" s="179" t="s">
        <v>79</v>
      </c>
      <c r="I93" s="180"/>
      <c r="J93" s="180"/>
      <c r="K93" s="181"/>
    </row>
    <row r="94" spans="2:11" s="60" customFormat="1" ht="57" customHeight="1" thickBot="1">
      <c r="C94" s="59" t="s">
        <v>4</v>
      </c>
      <c r="D94" s="182" t="s">
        <v>5</v>
      </c>
      <c r="E94" s="182"/>
      <c r="F94" s="41" t="s">
        <v>27</v>
      </c>
      <c r="G94" s="42" t="s">
        <v>7</v>
      </c>
      <c r="H94" s="40" t="s">
        <v>34</v>
      </c>
      <c r="I94" s="63" t="s">
        <v>38</v>
      </c>
      <c r="J94" s="64" t="s">
        <v>39</v>
      </c>
      <c r="K94" s="42" t="s">
        <v>115</v>
      </c>
    </row>
    <row r="95" spans="2:11" ht="33" customHeight="1" thickBot="1">
      <c r="B95" s="114" t="str">
        <f>CONCATENATE($B$11+0.11)</f>
        <v>0.11</v>
      </c>
      <c r="C95" s="44"/>
      <c r="D95" s="115" t="str">
        <f>CONCATENATE(B95,"a")</f>
        <v>0.11a</v>
      </c>
      <c r="E95" s="44"/>
      <c r="F95" s="44"/>
      <c r="G95" s="44"/>
      <c r="H95" s="44"/>
      <c r="I95" s="44"/>
      <c r="J95" s="44"/>
      <c r="K95" s="153" t="str">
        <f>IFERROR(IF(ISBLANK(J95),"",(IF(J95&lt;H95,J95/H95,1)-IF(I95&lt;H95,I95/H95,1)))*(G95),"Not calculated")</f>
        <v>Not calculated</v>
      </c>
    </row>
    <row r="96" spans="2:11" ht="33" customHeight="1" thickBot="1">
      <c r="B96" s="12"/>
      <c r="C96" s="38"/>
      <c r="D96" s="116" t="str">
        <f>CONCATENATE(B95,"b")</f>
        <v>0.11b</v>
      </c>
      <c r="E96" s="44"/>
      <c r="F96" s="44"/>
      <c r="G96" s="44"/>
      <c r="H96" s="44"/>
      <c r="I96" s="44"/>
      <c r="J96" s="44"/>
      <c r="K96" s="153" t="str">
        <f>IFERROR(IF(ISBLANK(J96),"",(IF(J96&lt;H96,J96/H96,1)-IF(I96&lt;H96,I96/H96,1)))*(G96),"Not calculated")</f>
        <v>Not calculated</v>
      </c>
    </row>
    <row r="97" spans="2:11" ht="33" customHeight="1" thickBot="1">
      <c r="B97" s="12"/>
      <c r="C97" s="39"/>
      <c r="D97" s="116" t="str">
        <f>CONCATENATE(B95,"c")</f>
        <v>0.11c</v>
      </c>
      <c r="E97" s="44"/>
      <c r="F97" s="44"/>
      <c r="G97" s="44"/>
      <c r="H97" s="44"/>
      <c r="I97" s="44"/>
      <c r="J97" s="44"/>
      <c r="K97" s="153" t="str">
        <f>IFERROR(IF(ISBLANK(J97),"",(IF(J97&lt;H97,J97/H97,1)-IF(I97&lt;H97,I97/H97,1)))*(G97),"Not calculated")</f>
        <v>Not calculated</v>
      </c>
    </row>
    <row r="98" spans="2:11" ht="33" customHeight="1" thickBot="1">
      <c r="B98" s="12"/>
      <c r="C98" s="39"/>
      <c r="D98" s="116" t="str">
        <f>CONCATENATE(B95,"d")</f>
        <v>0.11d</v>
      </c>
      <c r="E98" s="44"/>
      <c r="F98" s="44"/>
      <c r="G98" s="44"/>
      <c r="H98" s="44"/>
      <c r="I98" s="44"/>
      <c r="J98" s="44"/>
      <c r="K98" s="153" t="str">
        <f>IFERROR(IF(ISBLANK(J98),"",(IF(J98&lt;H98,J98/H98,1)-IF(I98&lt;H98,I98/H98,1)))*(G98),"Not calculated")</f>
        <v>Not calculated</v>
      </c>
    </row>
    <row r="99" spans="2:11" ht="33" customHeight="1" thickBot="1">
      <c r="B99" s="12"/>
      <c r="C99" s="39"/>
      <c r="D99" s="116" t="str">
        <f>CONCATENATE(B95,"e")</f>
        <v>0.11e</v>
      </c>
      <c r="E99" s="44"/>
      <c r="F99" s="44"/>
      <c r="G99" s="44"/>
      <c r="H99" s="44"/>
      <c r="I99" s="44"/>
      <c r="J99" s="44"/>
      <c r="K99" s="153" t="str">
        <f>IFERROR(IF(ISBLANK(J99),"",(IF(J99&lt;H99,J99/H99,1)-IF(I99&lt;H99,I99/H99,1)))*(G99),"Not calculated")</f>
        <v>Not calculated</v>
      </c>
    </row>
    <row r="100" spans="2:11" ht="27.95" customHeight="1" thickBot="1">
      <c r="B100" s="12"/>
      <c r="C100" s="13"/>
      <c r="D100" s="13"/>
      <c r="E100" s="13"/>
      <c r="F100" s="13"/>
      <c r="G100" s="13"/>
      <c r="H100" s="13"/>
      <c r="I100" s="13"/>
      <c r="J100" s="13"/>
      <c r="K100" s="62"/>
    </row>
    <row r="101" spans="2:11" ht="90" customHeight="1">
      <c r="B101" s="12"/>
      <c r="C101" s="179" t="s">
        <v>35</v>
      </c>
      <c r="D101" s="180"/>
      <c r="E101" s="180"/>
      <c r="F101" s="180"/>
      <c r="G101" s="181"/>
      <c r="H101" s="179" t="s">
        <v>79</v>
      </c>
      <c r="I101" s="180"/>
      <c r="J101" s="180"/>
      <c r="K101" s="181"/>
    </row>
    <row r="102" spans="2:11" s="60" customFormat="1" ht="57" customHeight="1" thickBot="1">
      <c r="C102" s="59" t="s">
        <v>4</v>
      </c>
      <c r="D102" s="182" t="s">
        <v>5</v>
      </c>
      <c r="E102" s="182"/>
      <c r="F102" s="41" t="s">
        <v>27</v>
      </c>
      <c r="G102" s="42" t="s">
        <v>7</v>
      </c>
      <c r="H102" s="40" t="s">
        <v>34</v>
      </c>
      <c r="I102" s="63" t="s">
        <v>38</v>
      </c>
      <c r="J102" s="64" t="s">
        <v>39</v>
      </c>
      <c r="K102" s="42" t="s">
        <v>115</v>
      </c>
    </row>
    <row r="103" spans="2:11" ht="33" customHeight="1" thickBot="1">
      <c r="B103" s="114" t="str">
        <f>CONCATENATE($B$11+0.12)</f>
        <v>0.12</v>
      </c>
      <c r="C103" s="44"/>
      <c r="D103" s="115" t="str">
        <f>CONCATENATE(B103,"a")</f>
        <v>0.12a</v>
      </c>
      <c r="E103" s="44"/>
      <c r="F103" s="44"/>
      <c r="G103" s="44"/>
      <c r="H103" s="44"/>
      <c r="I103" s="44"/>
      <c r="J103" s="44"/>
      <c r="K103" s="153" t="str">
        <f>IFERROR(IF(ISBLANK(J103),"",(IF(J103&lt;H103,J103/H103,1)-IF(I103&lt;H103,I103/H103,1)))*(G103),"Not calculated")</f>
        <v>Not calculated</v>
      </c>
    </row>
    <row r="104" spans="2:11" ht="33" customHeight="1" thickBot="1">
      <c r="B104" s="12"/>
      <c r="C104" s="38"/>
      <c r="D104" s="116" t="str">
        <f>CONCATENATE(B103,"b")</f>
        <v>0.12b</v>
      </c>
      <c r="E104" s="44"/>
      <c r="F104" s="44"/>
      <c r="G104" s="44"/>
      <c r="H104" s="44"/>
      <c r="I104" s="44"/>
      <c r="J104" s="44"/>
      <c r="K104" s="153" t="str">
        <f>IFERROR(IF(ISBLANK(J104),"",(IF(J104&lt;H104,J104/H104,1)-IF(I104&lt;H104,I104/H104,1)))*(G104),"Not calculated")</f>
        <v>Not calculated</v>
      </c>
    </row>
    <row r="105" spans="2:11" ht="33" customHeight="1" thickBot="1">
      <c r="B105" s="12"/>
      <c r="C105" s="39"/>
      <c r="D105" s="116" t="str">
        <f>CONCATENATE(B103,"c")</f>
        <v>0.12c</v>
      </c>
      <c r="E105" s="44"/>
      <c r="F105" s="44"/>
      <c r="G105" s="44"/>
      <c r="H105" s="44"/>
      <c r="I105" s="44"/>
      <c r="J105" s="44"/>
      <c r="K105" s="153" t="str">
        <f>IFERROR(IF(ISBLANK(J105),"",(IF(J105&lt;H105,J105/H105,1)-IF(I105&lt;H105,I105/H105,1)))*(G105),"Not calculated")</f>
        <v>Not calculated</v>
      </c>
    </row>
    <row r="106" spans="2:11" ht="33" customHeight="1" thickBot="1">
      <c r="B106" s="12"/>
      <c r="C106" s="39"/>
      <c r="D106" s="116" t="str">
        <f>CONCATENATE(B103,"d")</f>
        <v>0.12d</v>
      </c>
      <c r="E106" s="44"/>
      <c r="F106" s="44"/>
      <c r="G106" s="44"/>
      <c r="H106" s="44"/>
      <c r="I106" s="44"/>
      <c r="J106" s="44"/>
      <c r="K106" s="153" t="str">
        <f>IFERROR(IF(ISBLANK(J106),"",(IF(J106&lt;H106,J106/H106,1)-IF(I106&lt;H106,I106/H106,1)))*(G106),"Not calculated")</f>
        <v>Not calculated</v>
      </c>
    </row>
    <row r="107" spans="2:11" ht="33" customHeight="1" thickBot="1">
      <c r="B107" s="12"/>
      <c r="C107" s="39"/>
      <c r="D107" s="116" t="str">
        <f>CONCATENATE(B103,"e")</f>
        <v>0.12e</v>
      </c>
      <c r="E107" s="44"/>
      <c r="F107" s="44"/>
      <c r="G107" s="44"/>
      <c r="H107" s="44"/>
      <c r="I107" s="44"/>
      <c r="J107" s="44"/>
      <c r="K107" s="153" t="str">
        <f>IFERROR(IF(ISBLANK(J107),"",(IF(J107&lt;H107,J107/H107,1)-IF(I107&lt;H107,I107/H107,1)))*(G107),"Not calculated")</f>
        <v>Not calculated</v>
      </c>
    </row>
    <row r="108" spans="2:11" ht="27.95" customHeight="1" thickBot="1">
      <c r="B108" s="12"/>
      <c r="C108" s="13"/>
      <c r="D108" s="13"/>
      <c r="E108" s="13"/>
      <c r="F108" s="13"/>
      <c r="G108" s="13"/>
      <c r="H108" s="13"/>
      <c r="I108" s="13"/>
      <c r="J108" s="13"/>
      <c r="K108" s="62"/>
    </row>
    <row r="109" spans="2:11" ht="90" customHeight="1">
      <c r="B109" s="12"/>
      <c r="C109" s="179" t="s">
        <v>35</v>
      </c>
      <c r="D109" s="180"/>
      <c r="E109" s="180"/>
      <c r="F109" s="180"/>
      <c r="G109" s="181"/>
      <c r="H109" s="179" t="s">
        <v>79</v>
      </c>
      <c r="I109" s="180"/>
      <c r="J109" s="180"/>
      <c r="K109" s="181"/>
    </row>
    <row r="110" spans="2:11" s="60" customFormat="1" ht="57" customHeight="1" thickBot="1">
      <c r="C110" s="59" t="s">
        <v>4</v>
      </c>
      <c r="D110" s="182" t="s">
        <v>5</v>
      </c>
      <c r="E110" s="182"/>
      <c r="F110" s="41" t="s">
        <v>27</v>
      </c>
      <c r="G110" s="42" t="s">
        <v>7</v>
      </c>
      <c r="H110" s="40" t="s">
        <v>34</v>
      </c>
      <c r="I110" s="63" t="s">
        <v>38</v>
      </c>
      <c r="J110" s="64" t="s">
        <v>39</v>
      </c>
      <c r="K110" s="42" t="s">
        <v>115</v>
      </c>
    </row>
    <row r="111" spans="2:11" ht="33" customHeight="1" thickBot="1">
      <c r="B111" s="114" t="str">
        <f>CONCATENATE($B$11+0.13)</f>
        <v>0.13</v>
      </c>
      <c r="C111" s="44"/>
      <c r="D111" s="115" t="str">
        <f>CONCATENATE(B111,"a")</f>
        <v>0.13a</v>
      </c>
      <c r="E111" s="44"/>
      <c r="F111" s="44"/>
      <c r="G111" s="44"/>
      <c r="H111" s="44"/>
      <c r="I111" s="44"/>
      <c r="J111" s="44"/>
      <c r="K111" s="153" t="str">
        <f>IFERROR(IF(ISBLANK(J111),"",(IF(J111&lt;H111,J111/H111,1)-IF(I111&lt;H111,I111/H111,1)))*(G111),"Not calculated")</f>
        <v>Not calculated</v>
      </c>
    </row>
    <row r="112" spans="2:11" ht="33" customHeight="1" thickBot="1">
      <c r="B112" s="12"/>
      <c r="C112" s="38"/>
      <c r="D112" s="116" t="str">
        <f>CONCATENATE(B111,"b")</f>
        <v>0.13b</v>
      </c>
      <c r="E112" s="44"/>
      <c r="F112" s="44"/>
      <c r="G112" s="44"/>
      <c r="H112" s="44"/>
      <c r="I112" s="44"/>
      <c r="J112" s="44"/>
      <c r="K112" s="153" t="str">
        <f>IFERROR(IF(ISBLANK(J112),"",(IF(J112&lt;H112,J112/H112,1)-IF(I112&lt;H112,I112/H112,1)))*(G112),"Not calculated")</f>
        <v>Not calculated</v>
      </c>
    </row>
    <row r="113" spans="2:11" ht="33" customHeight="1" thickBot="1">
      <c r="B113" s="12"/>
      <c r="C113" s="39"/>
      <c r="D113" s="116" t="str">
        <f>CONCATENATE(B111,"c")</f>
        <v>0.13c</v>
      </c>
      <c r="E113" s="44"/>
      <c r="F113" s="44"/>
      <c r="G113" s="44"/>
      <c r="H113" s="44"/>
      <c r="I113" s="44"/>
      <c r="J113" s="44"/>
      <c r="K113" s="153" t="str">
        <f>IFERROR(IF(ISBLANK(J113),"",(IF(J113&lt;H113,J113/H113,1)-IF(I113&lt;H113,I113/H113,1)))*(G113),"Not calculated")</f>
        <v>Not calculated</v>
      </c>
    </row>
    <row r="114" spans="2:11" ht="33" customHeight="1" thickBot="1">
      <c r="B114" s="12"/>
      <c r="C114" s="39"/>
      <c r="D114" s="116" t="str">
        <f>CONCATENATE(B111,"d")</f>
        <v>0.13d</v>
      </c>
      <c r="E114" s="44"/>
      <c r="F114" s="44"/>
      <c r="G114" s="44"/>
      <c r="H114" s="44"/>
      <c r="I114" s="44"/>
      <c r="J114" s="44"/>
      <c r="K114" s="153" t="str">
        <f>IFERROR(IF(ISBLANK(J114),"",(IF(J114&lt;H114,J114/H114,1)-IF(I114&lt;H114,I114/H114,1)))*(G114),"Not calculated")</f>
        <v>Not calculated</v>
      </c>
    </row>
    <row r="115" spans="2:11" ht="33" customHeight="1" thickBot="1">
      <c r="B115" s="12"/>
      <c r="C115" s="39"/>
      <c r="D115" s="116" t="str">
        <f>CONCATENATE(B111,"e")</f>
        <v>0.13e</v>
      </c>
      <c r="E115" s="44"/>
      <c r="F115" s="44"/>
      <c r="G115" s="44"/>
      <c r="H115" s="44"/>
      <c r="I115" s="44"/>
      <c r="J115" s="44"/>
      <c r="K115" s="153" t="str">
        <f>IFERROR(IF(ISBLANK(J115),"",(IF(J115&lt;H115,J115/H115,1)-IF(I115&lt;H115,I115/H115,1)))*(G115),"Not calculated")</f>
        <v>Not calculated</v>
      </c>
    </row>
    <row r="116" spans="2:11" ht="27.95" customHeight="1" thickBot="1">
      <c r="B116" s="12"/>
      <c r="C116" s="13"/>
      <c r="D116" s="13"/>
      <c r="E116" s="13"/>
      <c r="F116" s="13"/>
      <c r="G116" s="13"/>
      <c r="H116" s="13"/>
      <c r="I116" s="13"/>
      <c r="J116" s="13"/>
      <c r="K116" s="62"/>
    </row>
    <row r="117" spans="2:11" ht="90" customHeight="1">
      <c r="B117" s="12"/>
      <c r="C117" s="179" t="s">
        <v>35</v>
      </c>
      <c r="D117" s="180"/>
      <c r="E117" s="180"/>
      <c r="F117" s="180"/>
      <c r="G117" s="181"/>
      <c r="H117" s="179" t="s">
        <v>79</v>
      </c>
      <c r="I117" s="180"/>
      <c r="J117" s="180"/>
      <c r="K117" s="181"/>
    </row>
    <row r="118" spans="2:11" s="60" customFormat="1" ht="57" customHeight="1" thickBot="1">
      <c r="C118" s="59" t="s">
        <v>4</v>
      </c>
      <c r="D118" s="182" t="s">
        <v>5</v>
      </c>
      <c r="E118" s="182"/>
      <c r="F118" s="41" t="s">
        <v>27</v>
      </c>
      <c r="G118" s="42" t="s">
        <v>7</v>
      </c>
      <c r="H118" s="40" t="s">
        <v>34</v>
      </c>
      <c r="I118" s="63" t="s">
        <v>38</v>
      </c>
      <c r="J118" s="64" t="s">
        <v>39</v>
      </c>
      <c r="K118" s="42" t="s">
        <v>115</v>
      </c>
    </row>
    <row r="119" spans="2:11" ht="33" customHeight="1" thickBot="1">
      <c r="B119" s="114" t="str">
        <f>CONCATENATE($B$11+0.14)</f>
        <v>0.14</v>
      </c>
      <c r="C119" s="44"/>
      <c r="D119" s="115" t="str">
        <f>CONCATENATE(B119,"a")</f>
        <v>0.14a</v>
      </c>
      <c r="E119" s="44"/>
      <c r="F119" s="44"/>
      <c r="G119" s="44"/>
      <c r="H119" s="44"/>
      <c r="I119" s="44"/>
      <c r="J119" s="44"/>
      <c r="K119" s="153" t="str">
        <f>IFERROR(IF(ISBLANK(J119),"",(IF(J119&lt;H119,J119/H119,1)-IF(I119&lt;H119,I119/H119,1)))*(G119),"Not calculated")</f>
        <v>Not calculated</v>
      </c>
    </row>
    <row r="120" spans="2:11" ht="33" customHeight="1" thickBot="1">
      <c r="B120" s="12"/>
      <c r="C120" s="38"/>
      <c r="D120" s="116" t="str">
        <f>CONCATENATE(B119,"b")</f>
        <v>0.14b</v>
      </c>
      <c r="E120" s="44"/>
      <c r="F120" s="44"/>
      <c r="G120" s="44"/>
      <c r="H120" s="44"/>
      <c r="I120" s="44"/>
      <c r="J120" s="44"/>
      <c r="K120" s="153" t="str">
        <f>IFERROR(IF(ISBLANK(J120),"",(IF(J120&lt;H120,J120/H120,1)-IF(I120&lt;H120,I120/H120,1)))*(G120),"Not calculated")</f>
        <v>Not calculated</v>
      </c>
    </row>
    <row r="121" spans="2:11" ht="33" customHeight="1" thickBot="1">
      <c r="B121" s="12"/>
      <c r="C121" s="39"/>
      <c r="D121" s="116" t="str">
        <f>CONCATENATE(B119,"c")</f>
        <v>0.14c</v>
      </c>
      <c r="E121" s="44"/>
      <c r="F121" s="44"/>
      <c r="G121" s="44"/>
      <c r="H121" s="44"/>
      <c r="I121" s="44"/>
      <c r="J121" s="44"/>
      <c r="K121" s="153" t="str">
        <f>IFERROR(IF(ISBLANK(J121),"",(IF(J121&lt;H121,J121/H121,1)-IF(I121&lt;H121,I121/H121,1)))*(G121),"Not calculated")</f>
        <v>Not calculated</v>
      </c>
    </row>
    <row r="122" spans="2:11" ht="33" customHeight="1" thickBot="1">
      <c r="B122" s="12"/>
      <c r="C122" s="39"/>
      <c r="D122" s="116" t="str">
        <f>CONCATENATE(B119,"d")</f>
        <v>0.14d</v>
      </c>
      <c r="E122" s="44"/>
      <c r="F122" s="44"/>
      <c r="G122" s="44"/>
      <c r="H122" s="44"/>
      <c r="I122" s="44"/>
      <c r="J122" s="44"/>
      <c r="K122" s="153" t="str">
        <f>IFERROR(IF(ISBLANK(J122),"",(IF(J122&lt;H122,J122/H122,1)-IF(I122&lt;H122,I122/H122,1)))*(G122),"Not calculated")</f>
        <v>Not calculated</v>
      </c>
    </row>
    <row r="123" spans="2:11" ht="33" customHeight="1" thickBot="1">
      <c r="B123" s="12"/>
      <c r="C123" s="39"/>
      <c r="D123" s="116" t="str">
        <f>CONCATENATE(B119,"e")</f>
        <v>0.14e</v>
      </c>
      <c r="E123" s="44"/>
      <c r="F123" s="44"/>
      <c r="G123" s="44"/>
      <c r="H123" s="44"/>
      <c r="I123" s="44"/>
      <c r="J123" s="44"/>
      <c r="K123" s="153" t="str">
        <f>IFERROR(IF(ISBLANK(J123),"",(IF(J123&lt;H123,J123/H123,1)-IF(I123&lt;H123,I123/H123,1)))*(G123),"Not calculated")</f>
        <v>Not calculated</v>
      </c>
    </row>
    <row r="124" spans="2:11" ht="27.95" customHeight="1" thickBot="1">
      <c r="B124" s="12"/>
      <c r="C124" s="13"/>
      <c r="D124" s="13"/>
      <c r="E124" s="13"/>
      <c r="F124" s="13"/>
      <c r="G124" s="13"/>
      <c r="H124" s="13"/>
      <c r="I124" s="13"/>
      <c r="J124" s="13"/>
      <c r="K124" s="62"/>
    </row>
    <row r="125" spans="2:11" ht="90" customHeight="1">
      <c r="B125" s="12"/>
      <c r="C125" s="179" t="s">
        <v>35</v>
      </c>
      <c r="D125" s="180"/>
      <c r="E125" s="180"/>
      <c r="F125" s="180"/>
      <c r="G125" s="181"/>
      <c r="H125" s="179" t="s">
        <v>79</v>
      </c>
      <c r="I125" s="180"/>
      <c r="J125" s="180"/>
      <c r="K125" s="181"/>
    </row>
    <row r="126" spans="2:11" s="60" customFormat="1" ht="57" customHeight="1" thickBot="1">
      <c r="C126" s="59" t="s">
        <v>4</v>
      </c>
      <c r="D126" s="182" t="s">
        <v>5</v>
      </c>
      <c r="E126" s="182"/>
      <c r="F126" s="41" t="s">
        <v>27</v>
      </c>
      <c r="G126" s="42" t="s">
        <v>7</v>
      </c>
      <c r="H126" s="40" t="s">
        <v>34</v>
      </c>
      <c r="I126" s="63" t="s">
        <v>38</v>
      </c>
      <c r="J126" s="64" t="s">
        <v>39</v>
      </c>
      <c r="K126" s="42" t="s">
        <v>115</v>
      </c>
    </row>
    <row r="127" spans="2:11" ht="33" customHeight="1" thickBot="1">
      <c r="B127" s="114" t="str">
        <f>CONCATENATE($B$11+0.15)</f>
        <v>0.15</v>
      </c>
      <c r="C127" s="44"/>
      <c r="D127" s="115" t="str">
        <f>CONCATENATE(B127,"a")</f>
        <v>0.15a</v>
      </c>
      <c r="E127" s="44"/>
      <c r="F127" s="44"/>
      <c r="G127" s="44"/>
      <c r="H127" s="44"/>
      <c r="I127" s="44"/>
      <c r="J127" s="44"/>
      <c r="K127" s="153" t="str">
        <f>IFERROR(IF(ISBLANK(J127),"",(IF(J127&lt;H127,J127/H127,1)-IF(I127&lt;H127,I127/H127,1)))*(G127),"Not calculated")</f>
        <v>Not calculated</v>
      </c>
    </row>
    <row r="128" spans="2:11" ht="33" customHeight="1" thickBot="1">
      <c r="B128" s="12"/>
      <c r="C128" s="38"/>
      <c r="D128" s="116" t="str">
        <f>CONCATENATE(B127,"b")</f>
        <v>0.15b</v>
      </c>
      <c r="E128" s="44"/>
      <c r="F128" s="44"/>
      <c r="G128" s="44"/>
      <c r="H128" s="44"/>
      <c r="I128" s="44"/>
      <c r="J128" s="44"/>
      <c r="K128" s="153" t="str">
        <f>IFERROR(IF(ISBLANK(J128),"",(IF(J128&lt;H128,J128/H128,1)-IF(I128&lt;H128,I128/H128,1)))*(G128),"Not calculated")</f>
        <v>Not calculated</v>
      </c>
    </row>
    <row r="129" spans="2:11" ht="33" customHeight="1" thickBot="1">
      <c r="B129" s="12"/>
      <c r="C129" s="39"/>
      <c r="D129" s="116" t="str">
        <f>CONCATENATE(B127,"c")</f>
        <v>0.15c</v>
      </c>
      <c r="E129" s="44"/>
      <c r="F129" s="44"/>
      <c r="G129" s="44"/>
      <c r="H129" s="44"/>
      <c r="I129" s="44"/>
      <c r="J129" s="44"/>
      <c r="K129" s="153" t="str">
        <f>IFERROR(IF(ISBLANK(J129),"",(IF(J129&lt;H129,J129/H129,1)-IF(I129&lt;H129,I129/H129,1)))*(G129),"Not calculated")</f>
        <v>Not calculated</v>
      </c>
    </row>
    <row r="130" spans="2:11" ht="33" customHeight="1" thickBot="1">
      <c r="B130" s="12"/>
      <c r="C130" s="39"/>
      <c r="D130" s="116" t="str">
        <f>CONCATENATE(B127,"d")</f>
        <v>0.15d</v>
      </c>
      <c r="E130" s="44"/>
      <c r="F130" s="44"/>
      <c r="G130" s="44"/>
      <c r="H130" s="44"/>
      <c r="I130" s="44"/>
      <c r="J130" s="44"/>
      <c r="K130" s="153" t="str">
        <f>IFERROR(IF(ISBLANK(J130),"",(IF(J130&lt;H130,J130/H130,1)-IF(I130&lt;H130,I130/H130,1)))*(G130),"Not calculated")</f>
        <v>Not calculated</v>
      </c>
    </row>
    <row r="131" spans="2:11" ht="33" customHeight="1" thickBot="1">
      <c r="B131" s="12"/>
      <c r="C131" s="39"/>
      <c r="D131" s="116" t="str">
        <f>CONCATENATE(B127,"e")</f>
        <v>0.15e</v>
      </c>
      <c r="E131" s="44"/>
      <c r="F131" s="44"/>
      <c r="G131" s="44"/>
      <c r="H131" s="44"/>
      <c r="I131" s="44"/>
      <c r="J131" s="44"/>
      <c r="K131" s="153" t="str">
        <f>IFERROR(IF(ISBLANK(J131),"",(IF(J131&lt;H131,J131/H131,1)-IF(I131&lt;H131,I131/H131,1)))*(G131),"Not calculated")</f>
        <v>Not calculated</v>
      </c>
    </row>
    <row r="132" spans="2:11" ht="27.95" customHeight="1" thickBot="1">
      <c r="B132" s="12"/>
      <c r="C132" s="13"/>
      <c r="D132" s="13"/>
      <c r="E132" s="13"/>
      <c r="F132" s="13"/>
      <c r="G132" s="13"/>
      <c r="H132" s="13"/>
      <c r="I132" s="13"/>
      <c r="J132" s="13"/>
      <c r="K132" s="62"/>
    </row>
    <row r="133" spans="2:11" ht="90" customHeight="1">
      <c r="B133" s="12"/>
      <c r="C133" s="179" t="s">
        <v>35</v>
      </c>
      <c r="D133" s="180"/>
      <c r="E133" s="180"/>
      <c r="F133" s="180"/>
      <c r="G133" s="181"/>
      <c r="H133" s="179" t="s">
        <v>79</v>
      </c>
      <c r="I133" s="180"/>
      <c r="J133" s="180"/>
      <c r="K133" s="181"/>
    </row>
    <row r="134" spans="2:11" s="60" customFormat="1" ht="57" customHeight="1" thickBot="1">
      <c r="C134" s="59" t="s">
        <v>4</v>
      </c>
      <c r="D134" s="182" t="s">
        <v>5</v>
      </c>
      <c r="E134" s="182"/>
      <c r="F134" s="41" t="s">
        <v>27</v>
      </c>
      <c r="G134" s="42" t="s">
        <v>7</v>
      </c>
      <c r="H134" s="40" t="s">
        <v>34</v>
      </c>
      <c r="I134" s="63" t="s">
        <v>38</v>
      </c>
      <c r="J134" s="64" t="s">
        <v>39</v>
      </c>
      <c r="K134" s="42" t="s">
        <v>115</v>
      </c>
    </row>
    <row r="135" spans="2:11" ht="33" customHeight="1" thickBot="1">
      <c r="B135" s="114" t="str">
        <f>CONCATENATE($B$11+0.16)</f>
        <v>0.16</v>
      </c>
      <c r="C135" s="44"/>
      <c r="D135" s="115" t="str">
        <f>CONCATENATE(B135,"a")</f>
        <v>0.16a</v>
      </c>
      <c r="E135" s="44"/>
      <c r="F135" s="44"/>
      <c r="G135" s="44"/>
      <c r="H135" s="44"/>
      <c r="I135" s="44"/>
      <c r="J135" s="44"/>
      <c r="K135" s="153" t="str">
        <f>IFERROR(IF(ISBLANK(J135),"",(IF(J135&lt;H135,J135/H135,1)-IF(I135&lt;H135,I135/H135,1)))*(G135),"Not calculated")</f>
        <v>Not calculated</v>
      </c>
    </row>
    <row r="136" spans="2:11" ht="33" customHeight="1" thickBot="1">
      <c r="B136" s="12"/>
      <c r="C136" s="38"/>
      <c r="D136" s="116" t="str">
        <f>CONCATENATE(B135,"b")</f>
        <v>0.16b</v>
      </c>
      <c r="E136" s="44"/>
      <c r="F136" s="44"/>
      <c r="G136" s="44"/>
      <c r="H136" s="44"/>
      <c r="I136" s="44"/>
      <c r="J136" s="44"/>
      <c r="K136" s="153" t="str">
        <f>IFERROR(IF(ISBLANK(J136),"",(IF(J136&lt;H136,J136/H136,1)-IF(I136&lt;H136,I136/H136,1)))*(G136),"Not calculated")</f>
        <v>Not calculated</v>
      </c>
    </row>
    <row r="137" spans="2:11" ht="33" customHeight="1" thickBot="1">
      <c r="B137" s="12"/>
      <c r="C137" s="39"/>
      <c r="D137" s="116" t="str">
        <f>CONCATENATE(B135,"c")</f>
        <v>0.16c</v>
      </c>
      <c r="E137" s="44"/>
      <c r="F137" s="44"/>
      <c r="G137" s="44"/>
      <c r="H137" s="44"/>
      <c r="I137" s="44"/>
      <c r="J137" s="44"/>
      <c r="K137" s="153" t="str">
        <f>IFERROR(IF(ISBLANK(J137),"",(IF(J137&lt;H137,J137/H137,1)-IF(I137&lt;H137,I137/H137,1)))*(G137),"Not calculated")</f>
        <v>Not calculated</v>
      </c>
    </row>
    <row r="138" spans="2:11" ht="33" customHeight="1" thickBot="1">
      <c r="B138" s="12"/>
      <c r="C138" s="39"/>
      <c r="D138" s="116" t="str">
        <f>CONCATENATE(B135,"d")</f>
        <v>0.16d</v>
      </c>
      <c r="E138" s="44"/>
      <c r="F138" s="44"/>
      <c r="G138" s="44"/>
      <c r="H138" s="44"/>
      <c r="I138" s="44"/>
      <c r="J138" s="44"/>
      <c r="K138" s="153" t="str">
        <f>IFERROR(IF(ISBLANK(J138),"",(IF(J138&lt;H138,J138/H138,1)-IF(I138&lt;H138,I138/H138,1)))*(G138),"Not calculated")</f>
        <v>Not calculated</v>
      </c>
    </row>
    <row r="139" spans="2:11" ht="33" customHeight="1" thickBot="1">
      <c r="B139" s="12"/>
      <c r="C139" s="39"/>
      <c r="D139" s="116" t="str">
        <f>CONCATENATE(B135,"e")</f>
        <v>0.16e</v>
      </c>
      <c r="E139" s="44"/>
      <c r="F139" s="44"/>
      <c r="G139" s="44"/>
      <c r="H139" s="44"/>
      <c r="I139" s="44"/>
      <c r="J139" s="44"/>
      <c r="K139" s="153" t="str">
        <f>IFERROR(IF(ISBLANK(J139),"",(IF(J139&lt;H139,J139/H139,1)-IF(I139&lt;H139,I139/H139,1)))*(G139),"Not calculated")</f>
        <v>Not calculated</v>
      </c>
    </row>
    <row r="140" spans="2:11" ht="27.95" customHeight="1" thickBot="1">
      <c r="B140" s="12"/>
      <c r="C140" s="13"/>
      <c r="D140" s="13"/>
      <c r="E140" s="13"/>
      <c r="F140" s="13"/>
      <c r="G140" s="13"/>
      <c r="H140" s="13"/>
      <c r="I140" s="13"/>
      <c r="J140" s="13"/>
      <c r="K140" s="62"/>
    </row>
    <row r="141" spans="2:11" ht="90" customHeight="1">
      <c r="B141" s="12"/>
      <c r="C141" s="179" t="s">
        <v>35</v>
      </c>
      <c r="D141" s="180"/>
      <c r="E141" s="180"/>
      <c r="F141" s="180"/>
      <c r="G141" s="181"/>
      <c r="H141" s="179" t="s">
        <v>79</v>
      </c>
      <c r="I141" s="180"/>
      <c r="J141" s="180"/>
      <c r="K141" s="181"/>
    </row>
    <row r="142" spans="2:11" s="60" customFormat="1" ht="57" customHeight="1" thickBot="1">
      <c r="C142" s="59" t="s">
        <v>4</v>
      </c>
      <c r="D142" s="182" t="s">
        <v>5</v>
      </c>
      <c r="E142" s="182"/>
      <c r="F142" s="41" t="s">
        <v>27</v>
      </c>
      <c r="G142" s="42" t="s">
        <v>7</v>
      </c>
      <c r="H142" s="40" t="s">
        <v>34</v>
      </c>
      <c r="I142" s="63" t="s">
        <v>38</v>
      </c>
      <c r="J142" s="64" t="s">
        <v>39</v>
      </c>
      <c r="K142" s="42" t="s">
        <v>115</v>
      </c>
    </row>
    <row r="143" spans="2:11" ht="33" customHeight="1" thickBot="1">
      <c r="B143" s="114" t="str">
        <f>CONCATENATE($B$11+0.17)</f>
        <v>0.17</v>
      </c>
      <c r="C143" s="44"/>
      <c r="D143" s="115" t="str">
        <f>CONCATENATE(B143,"a")</f>
        <v>0.17a</v>
      </c>
      <c r="E143" s="44"/>
      <c r="F143" s="44"/>
      <c r="G143" s="44"/>
      <c r="H143" s="44"/>
      <c r="I143" s="44"/>
      <c r="J143" s="44"/>
      <c r="K143" s="153" t="str">
        <f>IFERROR(IF(ISBLANK(J143),"",(IF(J143&lt;H143,J143/H143,1)-IF(I143&lt;H143,I143/H143,1)))*(G143),"Not calculated")</f>
        <v>Not calculated</v>
      </c>
    </row>
    <row r="144" spans="2:11" ht="33" customHeight="1" thickBot="1">
      <c r="B144" s="12"/>
      <c r="C144" s="38"/>
      <c r="D144" s="116" t="str">
        <f>CONCATENATE(B143,"b")</f>
        <v>0.17b</v>
      </c>
      <c r="E144" s="44"/>
      <c r="F144" s="44"/>
      <c r="G144" s="44"/>
      <c r="H144" s="44"/>
      <c r="I144" s="44"/>
      <c r="J144" s="44"/>
      <c r="K144" s="153" t="str">
        <f>IFERROR(IF(ISBLANK(J144),"",(IF(J144&lt;H144,J144/H144,1)-IF(I144&lt;H144,I144/H144,1)))*(G144),"Not calculated")</f>
        <v>Not calculated</v>
      </c>
    </row>
    <row r="145" spans="2:11" ht="33" customHeight="1" thickBot="1">
      <c r="B145" s="12"/>
      <c r="C145" s="39"/>
      <c r="D145" s="116" t="str">
        <f>CONCATENATE(B143,"c")</f>
        <v>0.17c</v>
      </c>
      <c r="E145" s="44"/>
      <c r="F145" s="44"/>
      <c r="G145" s="44"/>
      <c r="H145" s="44"/>
      <c r="I145" s="44"/>
      <c r="J145" s="44"/>
      <c r="K145" s="153" t="str">
        <f>IFERROR(IF(ISBLANK(J145),"",(IF(J145&lt;H145,J145/H145,1)-IF(I145&lt;H145,I145/H145,1)))*(G145),"Not calculated")</f>
        <v>Not calculated</v>
      </c>
    </row>
    <row r="146" spans="2:11" ht="33" customHeight="1" thickBot="1">
      <c r="B146" s="12"/>
      <c r="C146" s="39"/>
      <c r="D146" s="116" t="str">
        <f>CONCATENATE(B143,"d")</f>
        <v>0.17d</v>
      </c>
      <c r="E146" s="44"/>
      <c r="F146" s="44"/>
      <c r="G146" s="44"/>
      <c r="H146" s="44"/>
      <c r="I146" s="44"/>
      <c r="J146" s="44"/>
      <c r="K146" s="153" t="str">
        <f>IFERROR(IF(ISBLANK(J146),"",(IF(J146&lt;H146,J146/H146,1)-IF(I146&lt;H146,I146/H146,1)))*(G146),"Not calculated")</f>
        <v>Not calculated</v>
      </c>
    </row>
    <row r="147" spans="2:11" ht="33" customHeight="1" thickBot="1">
      <c r="B147" s="12"/>
      <c r="C147" s="39"/>
      <c r="D147" s="116" t="str">
        <f>CONCATENATE(B143,"e")</f>
        <v>0.17e</v>
      </c>
      <c r="E147" s="44"/>
      <c r="F147" s="44"/>
      <c r="G147" s="44"/>
      <c r="H147" s="44"/>
      <c r="I147" s="44"/>
      <c r="J147" s="44"/>
      <c r="K147" s="153" t="str">
        <f>IFERROR(IF(ISBLANK(J147),"",(IF(J147&lt;H147,J147/H147,1)-IF(I147&lt;H147,I147/H147,1)))*(G147),"Not calculated")</f>
        <v>Not calculated</v>
      </c>
    </row>
    <row r="148" spans="2:11" ht="27.95" customHeight="1" thickBot="1">
      <c r="B148" s="12"/>
      <c r="C148" s="13"/>
      <c r="D148" s="13"/>
      <c r="E148" s="13"/>
      <c r="F148" s="13"/>
      <c r="G148" s="13"/>
      <c r="H148" s="13"/>
      <c r="I148" s="13"/>
      <c r="J148" s="13"/>
      <c r="K148" s="62"/>
    </row>
    <row r="149" spans="2:11" ht="90" customHeight="1">
      <c r="B149" s="12"/>
      <c r="C149" s="179" t="s">
        <v>35</v>
      </c>
      <c r="D149" s="180"/>
      <c r="E149" s="180"/>
      <c r="F149" s="180"/>
      <c r="G149" s="181"/>
      <c r="H149" s="179" t="s">
        <v>79</v>
      </c>
      <c r="I149" s="180"/>
      <c r="J149" s="180"/>
      <c r="K149" s="181"/>
    </row>
    <row r="150" spans="2:11" s="60" customFormat="1" ht="57" customHeight="1" thickBot="1">
      <c r="C150" s="59" t="s">
        <v>4</v>
      </c>
      <c r="D150" s="182" t="s">
        <v>5</v>
      </c>
      <c r="E150" s="182"/>
      <c r="F150" s="41" t="s">
        <v>27</v>
      </c>
      <c r="G150" s="42" t="s">
        <v>7</v>
      </c>
      <c r="H150" s="40" t="s">
        <v>34</v>
      </c>
      <c r="I150" s="63" t="s">
        <v>38</v>
      </c>
      <c r="J150" s="64" t="s">
        <v>39</v>
      </c>
      <c r="K150" s="42" t="s">
        <v>115</v>
      </c>
    </row>
    <row r="151" spans="2:11" ht="33" customHeight="1" thickBot="1">
      <c r="B151" s="114" t="str">
        <f>CONCATENATE($B$11+0.18)</f>
        <v>0.18</v>
      </c>
      <c r="C151" s="44"/>
      <c r="D151" s="115" t="str">
        <f>CONCATENATE(B151,"a")</f>
        <v>0.18a</v>
      </c>
      <c r="E151" s="44"/>
      <c r="F151" s="44"/>
      <c r="G151" s="44"/>
      <c r="H151" s="44"/>
      <c r="I151" s="44"/>
      <c r="J151" s="44"/>
      <c r="K151" s="153" t="str">
        <f>IFERROR(IF(ISBLANK(J151),"",(IF(J151&lt;H151,J151/H151,1)-IF(I151&lt;H151,I151/H151,1)))*(G151),"Not calculated")</f>
        <v>Not calculated</v>
      </c>
    </row>
    <row r="152" spans="2:11" ht="33" customHeight="1" thickBot="1">
      <c r="B152" s="12"/>
      <c r="C152" s="38"/>
      <c r="D152" s="116" t="str">
        <f>CONCATENATE(B151,"b")</f>
        <v>0.18b</v>
      </c>
      <c r="E152" s="44"/>
      <c r="F152" s="44"/>
      <c r="G152" s="44"/>
      <c r="H152" s="44"/>
      <c r="I152" s="44"/>
      <c r="J152" s="44"/>
      <c r="K152" s="153" t="str">
        <f>IFERROR(IF(ISBLANK(J152),"",(IF(J152&lt;H152,J152/H152,1)-IF(I152&lt;H152,I152/H152,1)))*(G152),"Not calculated")</f>
        <v>Not calculated</v>
      </c>
    </row>
    <row r="153" spans="2:11" ht="33" customHeight="1" thickBot="1">
      <c r="B153" s="12"/>
      <c r="C153" s="39"/>
      <c r="D153" s="116" t="str">
        <f>CONCATENATE(B151,"c")</f>
        <v>0.18c</v>
      </c>
      <c r="E153" s="44"/>
      <c r="F153" s="44"/>
      <c r="G153" s="44"/>
      <c r="H153" s="44"/>
      <c r="I153" s="44"/>
      <c r="J153" s="44"/>
      <c r="K153" s="153" t="str">
        <f>IFERROR(IF(ISBLANK(J153),"",(IF(J153&lt;H153,J153/H153,1)-IF(I153&lt;H153,I153/H153,1)))*(G153),"Not calculated")</f>
        <v>Not calculated</v>
      </c>
    </row>
    <row r="154" spans="2:11" ht="33" customHeight="1" thickBot="1">
      <c r="B154" s="12"/>
      <c r="C154" s="39"/>
      <c r="D154" s="116" t="str">
        <f>CONCATENATE(B151,"d")</f>
        <v>0.18d</v>
      </c>
      <c r="E154" s="44"/>
      <c r="F154" s="44"/>
      <c r="G154" s="44"/>
      <c r="H154" s="44"/>
      <c r="I154" s="44"/>
      <c r="J154" s="44"/>
      <c r="K154" s="153" t="str">
        <f>IFERROR(IF(ISBLANK(J154),"",(IF(J154&lt;H154,J154/H154,1)-IF(I154&lt;H154,I154/H154,1)))*(G154),"Not calculated")</f>
        <v>Not calculated</v>
      </c>
    </row>
    <row r="155" spans="2:11" ht="33" customHeight="1" thickBot="1">
      <c r="B155" s="12"/>
      <c r="C155" s="39"/>
      <c r="D155" s="116" t="str">
        <f>CONCATENATE(B151,"e")</f>
        <v>0.18e</v>
      </c>
      <c r="E155" s="44"/>
      <c r="F155" s="44"/>
      <c r="G155" s="44"/>
      <c r="H155" s="44"/>
      <c r="I155" s="44"/>
      <c r="J155" s="44"/>
      <c r="K155" s="153" t="str">
        <f>IFERROR(IF(ISBLANK(J155),"",(IF(J155&lt;H155,J155/H155,1)-IF(I155&lt;H155,I155/H155,1)))*(G155),"Not calculated")</f>
        <v>Not calculated</v>
      </c>
    </row>
    <row r="156" spans="2:11" ht="27.95" customHeight="1" thickBot="1">
      <c r="B156" s="12"/>
      <c r="C156" s="13"/>
      <c r="D156" s="13"/>
      <c r="E156" s="13"/>
      <c r="F156" s="13"/>
      <c r="G156" s="13"/>
      <c r="H156" s="13"/>
      <c r="I156" s="13"/>
      <c r="J156" s="13"/>
      <c r="K156" s="62"/>
    </row>
    <row r="157" spans="2:11" ht="90" customHeight="1">
      <c r="B157" s="12"/>
      <c r="C157" s="179" t="s">
        <v>35</v>
      </c>
      <c r="D157" s="180"/>
      <c r="E157" s="180"/>
      <c r="F157" s="180"/>
      <c r="G157" s="181"/>
      <c r="H157" s="179" t="s">
        <v>79</v>
      </c>
      <c r="I157" s="180"/>
      <c r="J157" s="180"/>
      <c r="K157" s="181"/>
    </row>
    <row r="158" spans="2:11" s="60" customFormat="1" ht="57" customHeight="1" thickBot="1">
      <c r="C158" s="59" t="s">
        <v>4</v>
      </c>
      <c r="D158" s="182" t="s">
        <v>5</v>
      </c>
      <c r="E158" s="182"/>
      <c r="F158" s="41" t="s">
        <v>27</v>
      </c>
      <c r="G158" s="42" t="s">
        <v>7</v>
      </c>
      <c r="H158" s="40" t="s">
        <v>34</v>
      </c>
      <c r="I158" s="63" t="s">
        <v>38</v>
      </c>
      <c r="J158" s="64" t="s">
        <v>39</v>
      </c>
      <c r="K158" s="42" t="s">
        <v>115</v>
      </c>
    </row>
    <row r="159" spans="2:11" ht="33" customHeight="1" thickBot="1">
      <c r="B159" s="114" t="str">
        <f>CONCATENATE($B$11+0.19)</f>
        <v>0.19</v>
      </c>
      <c r="C159" s="44"/>
      <c r="D159" s="115" t="str">
        <f>CONCATENATE(B159,"a")</f>
        <v>0.19a</v>
      </c>
      <c r="E159" s="44"/>
      <c r="F159" s="44"/>
      <c r="G159" s="44"/>
      <c r="H159" s="44"/>
      <c r="I159" s="44"/>
      <c r="J159" s="44"/>
      <c r="K159" s="153" t="str">
        <f>IFERROR(IF(ISBLANK(J159),"",(IF(J159&lt;H159,J159/H159,1)-IF(I159&lt;H159,I159/H159,1)))*(G159),"Not calculated")</f>
        <v>Not calculated</v>
      </c>
    </row>
    <row r="160" spans="2:11" ht="33" customHeight="1" thickBot="1">
      <c r="B160" s="12"/>
      <c r="C160" s="38"/>
      <c r="D160" s="116" t="str">
        <f>CONCATENATE(B159,"b")</f>
        <v>0.19b</v>
      </c>
      <c r="E160" s="44"/>
      <c r="F160" s="44"/>
      <c r="G160" s="44"/>
      <c r="H160" s="44"/>
      <c r="I160" s="44"/>
      <c r="J160" s="44"/>
      <c r="K160" s="153" t="str">
        <f>IFERROR(IF(ISBLANK(J160),"",(IF(J160&lt;H160,J160/H160,1)-IF(I160&lt;H160,I160/H160,1)))*(G160),"Not calculated")</f>
        <v>Not calculated</v>
      </c>
    </row>
    <row r="161" spans="2:11" ht="33" customHeight="1" thickBot="1">
      <c r="B161" s="12"/>
      <c r="C161" s="39"/>
      <c r="D161" s="116" t="str">
        <f>CONCATENATE(B159,"c")</f>
        <v>0.19c</v>
      </c>
      <c r="E161" s="44"/>
      <c r="F161" s="44"/>
      <c r="G161" s="44"/>
      <c r="H161" s="44"/>
      <c r="I161" s="44"/>
      <c r="J161" s="44"/>
      <c r="K161" s="153" t="str">
        <f>IFERROR(IF(ISBLANK(J161),"",(IF(J161&lt;H161,J161/H161,1)-IF(I161&lt;H161,I161/H161,1)))*(G161),"Not calculated")</f>
        <v>Not calculated</v>
      </c>
    </row>
    <row r="162" spans="2:11" ht="33" customHeight="1" thickBot="1">
      <c r="B162" s="12"/>
      <c r="C162" s="39"/>
      <c r="D162" s="116" t="str">
        <f>CONCATENATE(B159,"d")</f>
        <v>0.19d</v>
      </c>
      <c r="E162" s="44"/>
      <c r="F162" s="44"/>
      <c r="G162" s="44"/>
      <c r="H162" s="44"/>
      <c r="I162" s="44"/>
      <c r="J162" s="44"/>
      <c r="K162" s="153" t="str">
        <f>IFERROR(IF(ISBLANK(J162),"",(IF(J162&lt;H162,J162/H162,1)-IF(I162&lt;H162,I162/H162,1)))*(G162),"Not calculated")</f>
        <v>Not calculated</v>
      </c>
    </row>
    <row r="163" spans="2:11" ht="33" customHeight="1" thickBot="1">
      <c r="B163" s="12"/>
      <c r="C163" s="39"/>
      <c r="D163" s="116" t="str">
        <f>CONCATENATE(B159,"e")</f>
        <v>0.19e</v>
      </c>
      <c r="E163" s="44"/>
      <c r="F163" s="44"/>
      <c r="G163" s="44"/>
      <c r="H163" s="44"/>
      <c r="I163" s="44"/>
      <c r="J163" s="44"/>
      <c r="K163" s="153" t="str">
        <f>IFERROR(IF(ISBLANK(J163),"",(IF(J163&lt;H163,J163/H163,1)-IF(I163&lt;H163,I163/H163,1)))*(G163),"Not calculated")</f>
        <v>Not calculated</v>
      </c>
    </row>
    <row r="164" spans="2:11" ht="27.95" customHeight="1" thickBot="1">
      <c r="B164" s="12"/>
      <c r="C164" s="13"/>
      <c r="D164" s="13"/>
      <c r="E164" s="13"/>
      <c r="F164" s="13"/>
      <c r="G164" s="13"/>
      <c r="H164" s="13"/>
      <c r="I164" s="13"/>
      <c r="J164" s="13"/>
      <c r="K164" s="62"/>
    </row>
    <row r="165" spans="2:11" ht="90" customHeight="1">
      <c r="B165" s="12"/>
      <c r="C165" s="179" t="s">
        <v>35</v>
      </c>
      <c r="D165" s="180"/>
      <c r="E165" s="180"/>
      <c r="F165" s="180"/>
      <c r="G165" s="181"/>
      <c r="H165" s="179" t="s">
        <v>79</v>
      </c>
      <c r="I165" s="180"/>
      <c r="J165" s="180"/>
      <c r="K165" s="181"/>
    </row>
    <row r="166" spans="2:11" s="60" customFormat="1" ht="57" customHeight="1" thickBot="1">
      <c r="C166" s="59" t="s">
        <v>4</v>
      </c>
      <c r="D166" s="182" t="s">
        <v>5</v>
      </c>
      <c r="E166" s="182"/>
      <c r="F166" s="41" t="s">
        <v>27</v>
      </c>
      <c r="G166" s="42" t="s">
        <v>7</v>
      </c>
      <c r="H166" s="40" t="s">
        <v>34</v>
      </c>
      <c r="I166" s="63" t="s">
        <v>38</v>
      </c>
      <c r="J166" s="64" t="s">
        <v>39</v>
      </c>
      <c r="K166" s="42" t="s">
        <v>115</v>
      </c>
    </row>
    <row r="167" spans="2:11" ht="33" customHeight="1" thickBot="1">
      <c r="B167" s="114" t="str">
        <f>$B$11&amp;TEXT(".20",".00")</f>
        <v>.20</v>
      </c>
      <c r="C167" s="44"/>
      <c r="D167" s="115" t="str">
        <f>CONCATENATE(B167,"a")</f>
        <v>.20a</v>
      </c>
      <c r="E167" s="44"/>
      <c r="F167" s="44"/>
      <c r="G167" s="44"/>
      <c r="H167" s="44"/>
      <c r="I167" s="44"/>
      <c r="J167" s="44"/>
      <c r="K167" s="153" t="str">
        <f>IFERROR(IF(ISBLANK(J167),"",(IF(J167&lt;H167,J167/H167,1)-IF(I167&lt;H167,I167/H167,1)))*(G167),"Not calculated")</f>
        <v>Not calculated</v>
      </c>
    </row>
    <row r="168" spans="2:11" ht="33" customHeight="1" thickBot="1">
      <c r="B168" s="12"/>
      <c r="C168" s="38"/>
      <c r="D168" s="116" t="str">
        <f>CONCATENATE(B167,"b")</f>
        <v>.20b</v>
      </c>
      <c r="E168" s="44"/>
      <c r="F168" s="44"/>
      <c r="G168" s="44"/>
      <c r="H168" s="44"/>
      <c r="I168" s="44"/>
      <c r="J168" s="44"/>
      <c r="K168" s="153" t="str">
        <f>IFERROR(IF(ISBLANK(J168),"",(IF(J168&lt;H168,J168/H168,1)-IF(I168&lt;H168,I168/H168,1)))*(G168),"Not calculated")</f>
        <v>Not calculated</v>
      </c>
    </row>
    <row r="169" spans="2:11" ht="33" customHeight="1" thickBot="1">
      <c r="B169" s="12"/>
      <c r="C169" s="39"/>
      <c r="D169" s="116" t="str">
        <f>CONCATENATE(B167,"c")</f>
        <v>.20c</v>
      </c>
      <c r="E169" s="44"/>
      <c r="F169" s="44"/>
      <c r="G169" s="44"/>
      <c r="H169" s="44"/>
      <c r="I169" s="44"/>
      <c r="J169" s="44"/>
      <c r="K169" s="153" t="str">
        <f>IFERROR(IF(ISBLANK(J169),"",(IF(J169&lt;H169,J169/H169,1)-IF(I169&lt;H169,I169/H169,1)))*(G169),"Not calculated")</f>
        <v>Not calculated</v>
      </c>
    </row>
    <row r="170" spans="2:11" ht="33" customHeight="1" thickBot="1">
      <c r="B170" s="12"/>
      <c r="C170" s="39"/>
      <c r="D170" s="116" t="str">
        <f>CONCATENATE(B167,"d")</f>
        <v>.20d</v>
      </c>
      <c r="E170" s="44"/>
      <c r="F170" s="44"/>
      <c r="G170" s="44"/>
      <c r="H170" s="44"/>
      <c r="I170" s="44"/>
      <c r="J170" s="44"/>
      <c r="K170" s="153" t="str">
        <f>IFERROR(IF(ISBLANK(J170),"",(IF(J170&lt;H170,J170/H170,1)-IF(I170&lt;H170,I170/H170,1)))*(G170),"Not calculated")</f>
        <v>Not calculated</v>
      </c>
    </row>
    <row r="171" spans="2:11" ht="33" customHeight="1" thickBot="1">
      <c r="B171" s="12"/>
      <c r="C171" s="39"/>
      <c r="D171" s="116" t="str">
        <f>CONCATENATE(B167,"e")</f>
        <v>.20e</v>
      </c>
      <c r="E171" s="44"/>
      <c r="F171" s="44"/>
      <c r="G171" s="44"/>
      <c r="H171" s="44"/>
      <c r="I171" s="44"/>
      <c r="J171" s="44"/>
      <c r="K171" s="153" t="str">
        <f>IFERROR(IF(ISBLANK(J171),"",(IF(J171&lt;H171,J171/H171,1)-IF(I171&lt;H171,I171/H171,1)))*(G171),"Not calculated")</f>
        <v>Not calculated</v>
      </c>
    </row>
    <row r="172" spans="2:11" ht="27.95" customHeight="1" thickBot="1">
      <c r="B172" s="12"/>
      <c r="C172" s="13"/>
      <c r="D172" s="13"/>
      <c r="E172" s="13"/>
      <c r="F172" s="13"/>
      <c r="G172" s="13"/>
      <c r="H172" s="13"/>
      <c r="I172" s="13"/>
      <c r="J172" s="13"/>
      <c r="K172" s="62"/>
    </row>
    <row r="173" spans="2:11" ht="90" customHeight="1">
      <c r="B173" s="12"/>
      <c r="C173" s="179" t="s">
        <v>35</v>
      </c>
      <c r="D173" s="180"/>
      <c r="E173" s="180"/>
      <c r="F173" s="180"/>
      <c r="G173" s="181"/>
      <c r="H173" s="179" t="s">
        <v>79</v>
      </c>
      <c r="I173" s="180"/>
      <c r="J173" s="180"/>
      <c r="K173" s="181"/>
    </row>
    <row r="174" spans="2:11" s="60" customFormat="1" ht="57" customHeight="1" thickBot="1">
      <c r="C174" s="59" t="s">
        <v>4</v>
      </c>
      <c r="D174" s="182" t="s">
        <v>5</v>
      </c>
      <c r="E174" s="182"/>
      <c r="F174" s="41" t="s">
        <v>27</v>
      </c>
      <c r="G174" s="42" t="s">
        <v>7</v>
      </c>
      <c r="H174" s="40" t="s">
        <v>34</v>
      </c>
      <c r="I174" s="63" t="s">
        <v>38</v>
      </c>
      <c r="J174" s="64" t="s">
        <v>39</v>
      </c>
      <c r="K174" s="42" t="s">
        <v>115</v>
      </c>
    </row>
    <row r="175" spans="2:11" ht="33" customHeight="1" thickBot="1">
      <c r="B175" s="114" t="str">
        <f>CONCATENATE($B$11+0.21)</f>
        <v>0.21</v>
      </c>
      <c r="C175" s="44"/>
      <c r="D175" s="115" t="str">
        <f>CONCATENATE(B175,"a")</f>
        <v>0.21a</v>
      </c>
      <c r="E175" s="44"/>
      <c r="F175" s="44"/>
      <c r="G175" s="44"/>
      <c r="H175" s="44"/>
      <c r="I175" s="44"/>
      <c r="J175" s="44"/>
      <c r="K175" s="153" t="str">
        <f>IFERROR(IF(ISBLANK(J175),"",(IF(J175&lt;H175,J175/H175,1)-IF(I175&lt;H175,I175/H175,1)))*(G175),"Not calculated")</f>
        <v>Not calculated</v>
      </c>
    </row>
    <row r="176" spans="2:11" ht="33" customHeight="1" thickBot="1">
      <c r="B176" s="12"/>
      <c r="C176" s="38"/>
      <c r="D176" s="116" t="str">
        <f>CONCATENATE(B175,"b")</f>
        <v>0.21b</v>
      </c>
      <c r="E176" s="44"/>
      <c r="F176" s="44"/>
      <c r="G176" s="44"/>
      <c r="H176" s="44"/>
      <c r="I176" s="44"/>
      <c r="J176" s="44"/>
      <c r="K176" s="153" t="str">
        <f>IFERROR(IF(ISBLANK(J176),"",(IF(J176&lt;H176,J176/H176,1)-IF(I176&lt;H176,I176/H176,1)))*(G176),"Not calculated")</f>
        <v>Not calculated</v>
      </c>
    </row>
    <row r="177" spans="2:11" ht="33" customHeight="1" thickBot="1">
      <c r="B177" s="12"/>
      <c r="C177" s="39"/>
      <c r="D177" s="116" t="str">
        <f>CONCATENATE(B175,"c")</f>
        <v>0.21c</v>
      </c>
      <c r="E177" s="44"/>
      <c r="F177" s="44"/>
      <c r="G177" s="44"/>
      <c r="H177" s="44"/>
      <c r="I177" s="44"/>
      <c r="J177" s="44"/>
      <c r="K177" s="153" t="str">
        <f>IFERROR(IF(ISBLANK(J177),"",(IF(J177&lt;H177,J177/H177,1)-IF(I177&lt;H177,I177/H177,1)))*(G177),"Not calculated")</f>
        <v>Not calculated</v>
      </c>
    </row>
    <row r="178" spans="2:11" ht="33" customHeight="1" thickBot="1">
      <c r="B178" s="12"/>
      <c r="C178" s="39"/>
      <c r="D178" s="116" t="str">
        <f>CONCATENATE(B175,"d")</f>
        <v>0.21d</v>
      </c>
      <c r="E178" s="44"/>
      <c r="F178" s="44"/>
      <c r="G178" s="44"/>
      <c r="H178" s="44"/>
      <c r="I178" s="44"/>
      <c r="J178" s="44"/>
      <c r="K178" s="153" t="str">
        <f>IFERROR(IF(ISBLANK(J178),"",(IF(J178&lt;H178,J178/H178,1)-IF(I178&lt;H178,I178/H178,1)))*(G178),"Not calculated")</f>
        <v>Not calculated</v>
      </c>
    </row>
    <row r="179" spans="2:11" ht="33" customHeight="1" thickBot="1">
      <c r="B179" s="12"/>
      <c r="C179" s="39"/>
      <c r="D179" s="116" t="str">
        <f>CONCATENATE(B175,"e")</f>
        <v>0.21e</v>
      </c>
      <c r="E179" s="44"/>
      <c r="F179" s="44"/>
      <c r="G179" s="44"/>
      <c r="H179" s="44"/>
      <c r="I179" s="44"/>
      <c r="J179" s="44"/>
      <c r="K179" s="153" t="str">
        <f>IFERROR(IF(ISBLANK(J179),"",(IF(J179&lt;H179,J179/H179,1)-IF(I179&lt;H179,I179/H179,1)))*(G179),"Not calculated")</f>
        <v>Not calculated</v>
      </c>
    </row>
    <row r="180" spans="2:11" ht="27.95" customHeight="1" thickBot="1">
      <c r="B180" s="12"/>
      <c r="C180" s="13"/>
      <c r="D180" s="13"/>
      <c r="E180" s="13"/>
      <c r="F180" s="13"/>
      <c r="G180" s="13"/>
      <c r="H180" s="13"/>
      <c r="I180" s="13"/>
      <c r="J180" s="13"/>
      <c r="K180" s="62"/>
    </row>
    <row r="181" spans="2:11" ht="90" customHeight="1">
      <c r="B181" s="12"/>
      <c r="C181" s="179" t="s">
        <v>35</v>
      </c>
      <c r="D181" s="180"/>
      <c r="E181" s="180"/>
      <c r="F181" s="180"/>
      <c r="G181" s="181"/>
      <c r="H181" s="179" t="s">
        <v>79</v>
      </c>
      <c r="I181" s="180"/>
      <c r="J181" s="180"/>
      <c r="K181" s="181"/>
    </row>
    <row r="182" spans="2:11" s="60" customFormat="1" ht="57" customHeight="1" thickBot="1">
      <c r="C182" s="59" t="s">
        <v>4</v>
      </c>
      <c r="D182" s="182" t="s">
        <v>5</v>
      </c>
      <c r="E182" s="182"/>
      <c r="F182" s="41" t="s">
        <v>27</v>
      </c>
      <c r="G182" s="42" t="s">
        <v>7</v>
      </c>
      <c r="H182" s="40" t="s">
        <v>34</v>
      </c>
      <c r="I182" s="63" t="s">
        <v>38</v>
      </c>
      <c r="J182" s="64" t="s">
        <v>39</v>
      </c>
      <c r="K182" s="42" t="s">
        <v>115</v>
      </c>
    </row>
    <row r="183" spans="2:11" ht="33" customHeight="1" thickBot="1">
      <c r="B183" s="114" t="str">
        <f>CONCATENATE($B$11+0.22)</f>
        <v>0.22</v>
      </c>
      <c r="C183" s="44"/>
      <c r="D183" s="115" t="str">
        <f>CONCATENATE(B183,"a")</f>
        <v>0.22a</v>
      </c>
      <c r="E183" s="44"/>
      <c r="F183" s="44"/>
      <c r="G183" s="44"/>
      <c r="H183" s="44"/>
      <c r="I183" s="44"/>
      <c r="J183" s="44"/>
      <c r="K183" s="153" t="str">
        <f>IFERROR(IF(ISBLANK(J183),"",(IF(J183&lt;H183,J183/H183,1)-IF(I183&lt;H183,I183/H183,1)))*(G183),"Not calculated")</f>
        <v>Not calculated</v>
      </c>
    </row>
    <row r="184" spans="2:11" ht="33" customHeight="1" thickBot="1">
      <c r="B184" s="12"/>
      <c r="C184" s="38"/>
      <c r="D184" s="116" t="str">
        <f>CONCATENATE(B183,"b")</f>
        <v>0.22b</v>
      </c>
      <c r="E184" s="44"/>
      <c r="F184" s="44"/>
      <c r="G184" s="44"/>
      <c r="H184" s="44"/>
      <c r="I184" s="44"/>
      <c r="J184" s="44"/>
      <c r="K184" s="153" t="str">
        <f>IFERROR(IF(ISBLANK(J184),"",(IF(J184&lt;H184,J184/H184,1)-IF(I184&lt;H184,I184/H184,1)))*(G184),"Not calculated")</f>
        <v>Not calculated</v>
      </c>
    </row>
    <row r="185" spans="2:11" ht="33" customHeight="1" thickBot="1">
      <c r="B185" s="12"/>
      <c r="C185" s="39"/>
      <c r="D185" s="116" t="str">
        <f>CONCATENATE(B183,"c")</f>
        <v>0.22c</v>
      </c>
      <c r="E185" s="44"/>
      <c r="F185" s="44"/>
      <c r="G185" s="44"/>
      <c r="H185" s="44"/>
      <c r="I185" s="44"/>
      <c r="J185" s="44"/>
      <c r="K185" s="153" t="str">
        <f>IFERROR(IF(ISBLANK(J185),"",(IF(J185&lt;H185,J185/H185,1)-IF(I185&lt;H185,I185/H185,1)))*(G185),"Not calculated")</f>
        <v>Not calculated</v>
      </c>
    </row>
    <row r="186" spans="2:11" ht="33" customHeight="1" thickBot="1">
      <c r="B186" s="12"/>
      <c r="C186" s="39"/>
      <c r="D186" s="116" t="str">
        <f>CONCATENATE(B183,"d")</f>
        <v>0.22d</v>
      </c>
      <c r="E186" s="44"/>
      <c r="F186" s="44"/>
      <c r="G186" s="44"/>
      <c r="H186" s="44"/>
      <c r="I186" s="44"/>
      <c r="J186" s="44"/>
      <c r="K186" s="153" t="str">
        <f>IFERROR(IF(ISBLANK(J186),"",(IF(J186&lt;H186,J186/H186,1)-IF(I186&lt;H186,I186/H186,1)))*(G186),"Not calculated")</f>
        <v>Not calculated</v>
      </c>
    </row>
    <row r="187" spans="2:11" ht="33" customHeight="1" thickBot="1">
      <c r="B187" s="12"/>
      <c r="C187" s="39"/>
      <c r="D187" s="116" t="str">
        <f>CONCATENATE(B183,"e")</f>
        <v>0.22e</v>
      </c>
      <c r="E187" s="44"/>
      <c r="F187" s="44"/>
      <c r="G187" s="44"/>
      <c r="H187" s="44"/>
      <c r="I187" s="44"/>
      <c r="J187" s="44"/>
      <c r="K187" s="153" t="str">
        <f>IFERROR(IF(ISBLANK(J187),"",(IF(J187&lt;H187,J187/H187,1)-IF(I187&lt;H187,I187/H187,1)))*(G187),"Not calculated")</f>
        <v>Not calculated</v>
      </c>
    </row>
    <row r="188" spans="2:11" ht="27.95" customHeight="1" thickBot="1">
      <c r="B188" s="12"/>
      <c r="C188" s="13"/>
      <c r="D188" s="13"/>
      <c r="E188" s="13"/>
      <c r="F188" s="13"/>
      <c r="G188" s="13"/>
      <c r="H188" s="13"/>
      <c r="I188" s="13"/>
      <c r="J188" s="13"/>
      <c r="K188" s="62"/>
    </row>
    <row r="189" spans="2:11" ht="90" customHeight="1">
      <c r="B189" s="12"/>
      <c r="C189" s="179" t="s">
        <v>35</v>
      </c>
      <c r="D189" s="180"/>
      <c r="E189" s="180"/>
      <c r="F189" s="180"/>
      <c r="G189" s="181"/>
      <c r="H189" s="179" t="s">
        <v>79</v>
      </c>
      <c r="I189" s="180"/>
      <c r="J189" s="180"/>
      <c r="K189" s="181"/>
    </row>
    <row r="190" spans="2:11" s="60" customFormat="1" ht="57" customHeight="1" thickBot="1">
      <c r="C190" s="59" t="s">
        <v>4</v>
      </c>
      <c r="D190" s="182" t="s">
        <v>5</v>
      </c>
      <c r="E190" s="182"/>
      <c r="F190" s="41" t="s">
        <v>27</v>
      </c>
      <c r="G190" s="42" t="s">
        <v>7</v>
      </c>
      <c r="H190" s="40" t="s">
        <v>34</v>
      </c>
      <c r="I190" s="63" t="s">
        <v>38</v>
      </c>
      <c r="J190" s="64" t="s">
        <v>39</v>
      </c>
      <c r="K190" s="42" t="s">
        <v>115</v>
      </c>
    </row>
    <row r="191" spans="2:11" ht="33" customHeight="1" thickBot="1">
      <c r="B191" s="114" t="str">
        <f>CONCATENATE($B$11+0.23)</f>
        <v>0.23</v>
      </c>
      <c r="C191" s="44"/>
      <c r="D191" s="115" t="str">
        <f>CONCATENATE(B191,"a")</f>
        <v>0.23a</v>
      </c>
      <c r="E191" s="44"/>
      <c r="F191" s="44"/>
      <c r="G191" s="44"/>
      <c r="H191" s="44"/>
      <c r="I191" s="44"/>
      <c r="J191" s="44"/>
      <c r="K191" s="153" t="str">
        <f>IFERROR(IF(ISBLANK(J191),"",(IF(J191&lt;H191,J191/H191,1)-IF(I191&lt;H191,I191/H191,1)))*(G191),"Not calculated")</f>
        <v>Not calculated</v>
      </c>
    </row>
    <row r="192" spans="2:11" ht="33" customHeight="1" thickBot="1">
      <c r="B192" s="12"/>
      <c r="C192" s="38"/>
      <c r="D192" s="116" t="str">
        <f>CONCATENATE(B191,"b")</f>
        <v>0.23b</v>
      </c>
      <c r="E192" s="44"/>
      <c r="F192" s="44"/>
      <c r="G192" s="44"/>
      <c r="H192" s="44"/>
      <c r="I192" s="44"/>
      <c r="J192" s="44"/>
      <c r="K192" s="153" t="str">
        <f>IFERROR(IF(ISBLANK(J192),"",(IF(J192&lt;H192,J192/H192,1)-IF(I192&lt;H192,I192/H192,1)))*(G192),"Not calculated")</f>
        <v>Not calculated</v>
      </c>
    </row>
    <row r="193" spans="2:11" ht="33" customHeight="1" thickBot="1">
      <c r="B193" s="12"/>
      <c r="C193" s="39"/>
      <c r="D193" s="116" t="str">
        <f>CONCATENATE(B191,"c")</f>
        <v>0.23c</v>
      </c>
      <c r="E193" s="44"/>
      <c r="F193" s="44"/>
      <c r="G193" s="44"/>
      <c r="H193" s="44"/>
      <c r="I193" s="44"/>
      <c r="J193" s="44"/>
      <c r="K193" s="153" t="str">
        <f>IFERROR(IF(ISBLANK(J193),"",(IF(J193&lt;H193,J193/H193,1)-IF(I193&lt;H193,I193/H193,1)))*(G193),"Not calculated")</f>
        <v>Not calculated</v>
      </c>
    </row>
    <row r="194" spans="2:11" ht="33" customHeight="1" thickBot="1">
      <c r="B194" s="12"/>
      <c r="C194" s="39"/>
      <c r="D194" s="116" t="str">
        <f>CONCATENATE(B191,"d")</f>
        <v>0.23d</v>
      </c>
      <c r="E194" s="44"/>
      <c r="F194" s="44"/>
      <c r="G194" s="44"/>
      <c r="H194" s="44"/>
      <c r="I194" s="44"/>
      <c r="J194" s="44"/>
      <c r="K194" s="153" t="str">
        <f>IFERROR(IF(ISBLANK(J194),"",(IF(J194&lt;H194,J194/H194,1)-IF(I194&lt;H194,I194/H194,1)))*(G194),"Not calculated")</f>
        <v>Not calculated</v>
      </c>
    </row>
    <row r="195" spans="2:11" ht="33" customHeight="1" thickBot="1">
      <c r="B195" s="12"/>
      <c r="C195" s="39"/>
      <c r="D195" s="116" t="str">
        <f>CONCATENATE(B191,"e")</f>
        <v>0.23e</v>
      </c>
      <c r="E195" s="44"/>
      <c r="F195" s="44"/>
      <c r="G195" s="44"/>
      <c r="H195" s="44"/>
      <c r="I195" s="44"/>
      <c r="J195" s="44"/>
      <c r="K195" s="153" t="str">
        <f>IFERROR(IF(ISBLANK(J195),"",(IF(J195&lt;H195,J195/H195,1)-IF(I195&lt;H195,I195/H195,1)))*(G195),"Not calculated")</f>
        <v>Not calculated</v>
      </c>
    </row>
    <row r="196" spans="2:11" ht="27.95" customHeight="1" thickBot="1">
      <c r="B196" s="12"/>
      <c r="C196" s="13"/>
      <c r="D196" s="13"/>
      <c r="E196" s="13"/>
      <c r="F196" s="13"/>
      <c r="G196" s="13"/>
      <c r="H196" s="13"/>
      <c r="I196" s="13"/>
      <c r="J196" s="13"/>
      <c r="K196" s="62"/>
    </row>
    <row r="197" spans="2:11" ht="90" customHeight="1">
      <c r="B197" s="12"/>
      <c r="C197" s="179" t="s">
        <v>35</v>
      </c>
      <c r="D197" s="180"/>
      <c r="E197" s="180"/>
      <c r="F197" s="180"/>
      <c r="G197" s="181"/>
      <c r="H197" s="179" t="s">
        <v>79</v>
      </c>
      <c r="I197" s="180"/>
      <c r="J197" s="180"/>
      <c r="K197" s="181"/>
    </row>
    <row r="198" spans="2:11" s="60" customFormat="1" ht="57" customHeight="1" thickBot="1">
      <c r="C198" s="59" t="s">
        <v>4</v>
      </c>
      <c r="D198" s="182" t="s">
        <v>5</v>
      </c>
      <c r="E198" s="182"/>
      <c r="F198" s="41" t="s">
        <v>27</v>
      </c>
      <c r="G198" s="42" t="s">
        <v>7</v>
      </c>
      <c r="H198" s="40" t="s">
        <v>34</v>
      </c>
      <c r="I198" s="63" t="s">
        <v>38</v>
      </c>
      <c r="J198" s="64" t="s">
        <v>39</v>
      </c>
      <c r="K198" s="42" t="s">
        <v>115</v>
      </c>
    </row>
    <row r="199" spans="2:11" ht="33" customHeight="1" thickBot="1">
      <c r="B199" s="114" t="str">
        <f>CONCATENATE($B$11+0.24)</f>
        <v>0.24</v>
      </c>
      <c r="C199" s="44"/>
      <c r="D199" s="115" t="str">
        <f>CONCATENATE(B199,"a")</f>
        <v>0.24a</v>
      </c>
      <c r="E199" s="44"/>
      <c r="F199" s="44"/>
      <c r="G199" s="44"/>
      <c r="H199" s="44"/>
      <c r="I199" s="44"/>
      <c r="J199" s="44"/>
      <c r="K199" s="153" t="str">
        <f>IFERROR(IF(ISBLANK(J199),"",(IF(J199&lt;H199,J199/H199,1)-IF(I199&lt;H199,I199/H199,1)))*(G199),"Not calculated")</f>
        <v>Not calculated</v>
      </c>
    </row>
    <row r="200" spans="2:11" ht="33" customHeight="1" thickBot="1">
      <c r="B200" s="12"/>
      <c r="C200" s="38"/>
      <c r="D200" s="116" t="str">
        <f>CONCATENATE(B199,"b")</f>
        <v>0.24b</v>
      </c>
      <c r="E200" s="44"/>
      <c r="F200" s="44"/>
      <c r="G200" s="44"/>
      <c r="H200" s="44"/>
      <c r="I200" s="44"/>
      <c r="J200" s="44"/>
      <c r="K200" s="153" t="str">
        <f>IFERROR(IF(ISBLANK(J200),"",(IF(J200&lt;H200,J200/H200,1)-IF(I200&lt;H200,I200/H200,1)))*(G200),"Not calculated")</f>
        <v>Not calculated</v>
      </c>
    </row>
    <row r="201" spans="2:11" ht="33" customHeight="1" thickBot="1">
      <c r="B201" s="12"/>
      <c r="C201" s="39"/>
      <c r="D201" s="116" t="str">
        <f>CONCATENATE(B199,"c")</f>
        <v>0.24c</v>
      </c>
      <c r="E201" s="44"/>
      <c r="F201" s="44"/>
      <c r="G201" s="44"/>
      <c r="H201" s="44"/>
      <c r="I201" s="44"/>
      <c r="J201" s="44"/>
      <c r="K201" s="153" t="str">
        <f>IFERROR(IF(ISBLANK(J201),"",(IF(J201&lt;H201,J201/H201,1)-IF(I201&lt;H201,I201/H201,1)))*(G201),"Not calculated")</f>
        <v>Not calculated</v>
      </c>
    </row>
    <row r="202" spans="2:11" ht="33" customHeight="1" thickBot="1">
      <c r="B202" s="12"/>
      <c r="C202" s="39"/>
      <c r="D202" s="116" t="str">
        <f>CONCATENATE(B199,"d")</f>
        <v>0.24d</v>
      </c>
      <c r="E202" s="44"/>
      <c r="F202" s="44"/>
      <c r="G202" s="44"/>
      <c r="H202" s="44"/>
      <c r="I202" s="44"/>
      <c r="J202" s="44"/>
      <c r="K202" s="153" t="str">
        <f>IFERROR(IF(ISBLANK(J202),"",(IF(J202&lt;H202,J202/H202,1)-IF(I202&lt;H202,I202/H202,1)))*(G202),"Not calculated")</f>
        <v>Not calculated</v>
      </c>
    </row>
    <row r="203" spans="2:11" ht="33" customHeight="1" thickBot="1">
      <c r="B203" s="12"/>
      <c r="C203" s="39"/>
      <c r="D203" s="116" t="str">
        <f>CONCATENATE(B199,"e")</f>
        <v>0.24e</v>
      </c>
      <c r="E203" s="44"/>
      <c r="F203" s="44"/>
      <c r="G203" s="44"/>
      <c r="H203" s="44"/>
      <c r="I203" s="44"/>
      <c r="J203" s="44"/>
      <c r="K203" s="153" t="str">
        <f>IFERROR(IF(ISBLANK(J203),"",(IF(J203&lt;H203,J203/H203,1)-IF(I203&lt;H203,I203/H203,1)))*(G203),"Not calculated")</f>
        <v>Not calculated</v>
      </c>
    </row>
    <row r="204" spans="2:11" ht="27.95" customHeight="1" thickBot="1">
      <c r="B204" s="12"/>
      <c r="C204" s="13"/>
      <c r="D204" s="13"/>
      <c r="E204" s="13"/>
      <c r="F204" s="13"/>
      <c r="G204" s="13"/>
      <c r="H204" s="13"/>
      <c r="I204" s="13"/>
      <c r="J204" s="13"/>
      <c r="K204" s="62"/>
    </row>
    <row r="205" spans="2:11" ht="90" customHeight="1">
      <c r="B205" s="12"/>
      <c r="C205" s="179" t="s">
        <v>35</v>
      </c>
      <c r="D205" s="180"/>
      <c r="E205" s="180"/>
      <c r="F205" s="180"/>
      <c r="G205" s="181"/>
      <c r="H205" s="179" t="s">
        <v>79</v>
      </c>
      <c r="I205" s="180"/>
      <c r="J205" s="180"/>
      <c r="K205" s="181"/>
    </row>
    <row r="206" spans="2:11" s="60" customFormat="1" ht="57" customHeight="1" thickBot="1">
      <c r="C206" s="59" t="s">
        <v>4</v>
      </c>
      <c r="D206" s="182" t="s">
        <v>5</v>
      </c>
      <c r="E206" s="182"/>
      <c r="F206" s="41" t="s">
        <v>27</v>
      </c>
      <c r="G206" s="42" t="s">
        <v>7</v>
      </c>
      <c r="H206" s="40" t="s">
        <v>34</v>
      </c>
      <c r="I206" s="63" t="s">
        <v>38</v>
      </c>
      <c r="J206" s="64" t="s">
        <v>39</v>
      </c>
      <c r="K206" s="42" t="s">
        <v>115</v>
      </c>
    </row>
    <row r="207" spans="2:11" ht="33" customHeight="1" thickBot="1">
      <c r="B207" s="114" t="str">
        <f>CONCATENATE($B$11+0.25)</f>
        <v>0.25</v>
      </c>
      <c r="C207" s="44"/>
      <c r="D207" s="115" t="str">
        <f>CONCATENATE(B207,"a")</f>
        <v>0.25a</v>
      </c>
      <c r="E207" s="44"/>
      <c r="F207" s="44"/>
      <c r="G207" s="44"/>
      <c r="H207" s="44"/>
      <c r="I207" s="44"/>
      <c r="J207" s="44"/>
      <c r="K207" s="153" t="str">
        <f>IFERROR(IF(ISBLANK(J207),"",(IF(J207&lt;H207,J207/H207,1)-IF(I207&lt;H207,I207/H207,1)))*(G207),"Not calculated")</f>
        <v>Not calculated</v>
      </c>
    </row>
    <row r="208" spans="2:11" ht="33" customHeight="1" thickBot="1">
      <c r="B208" s="12"/>
      <c r="C208" s="38"/>
      <c r="D208" s="116" t="str">
        <f>CONCATENATE(B207,"b")</f>
        <v>0.25b</v>
      </c>
      <c r="E208" s="44"/>
      <c r="F208" s="44"/>
      <c r="G208" s="44"/>
      <c r="H208" s="44"/>
      <c r="I208" s="44"/>
      <c r="J208" s="44"/>
      <c r="K208" s="153" t="str">
        <f>IFERROR(IF(ISBLANK(J208),"",(IF(J208&lt;H208,J208/H208,1)-IF(I208&lt;H208,I208/H208,1)))*(G208),"Not calculated")</f>
        <v>Not calculated</v>
      </c>
    </row>
    <row r="209" spans="2:11" ht="33" customHeight="1" thickBot="1">
      <c r="B209" s="12"/>
      <c r="C209" s="39"/>
      <c r="D209" s="116" t="str">
        <f>CONCATENATE(B207,"c")</f>
        <v>0.25c</v>
      </c>
      <c r="E209" s="44"/>
      <c r="F209" s="44"/>
      <c r="G209" s="44"/>
      <c r="H209" s="44"/>
      <c r="I209" s="44"/>
      <c r="J209" s="44"/>
      <c r="K209" s="153" t="str">
        <f>IFERROR(IF(ISBLANK(J209),"",(IF(J209&lt;H209,J209/H209,1)-IF(I209&lt;H209,I209/H209,1)))*(G209),"Not calculated")</f>
        <v>Not calculated</v>
      </c>
    </row>
    <row r="210" spans="2:11" ht="33" customHeight="1" thickBot="1">
      <c r="B210" s="12"/>
      <c r="C210" s="39"/>
      <c r="D210" s="116" t="str">
        <f>CONCATENATE(B207,"d")</f>
        <v>0.25d</v>
      </c>
      <c r="E210" s="44"/>
      <c r="F210" s="44"/>
      <c r="G210" s="44"/>
      <c r="H210" s="44"/>
      <c r="I210" s="44"/>
      <c r="J210" s="44"/>
      <c r="K210" s="153" t="str">
        <f>IFERROR(IF(ISBLANK(J210),"",(IF(J210&lt;H210,J210/H210,1)-IF(I210&lt;H210,I210/H210,1)))*(G210),"Not calculated")</f>
        <v>Not calculated</v>
      </c>
    </row>
    <row r="211" spans="2:11" ht="33" customHeight="1" thickBot="1">
      <c r="B211" s="12"/>
      <c r="C211" s="39"/>
      <c r="D211" s="116" t="str">
        <f>CONCATENATE(B207,"e")</f>
        <v>0.25e</v>
      </c>
      <c r="E211" s="44"/>
      <c r="F211" s="44"/>
      <c r="G211" s="44"/>
      <c r="H211" s="44"/>
      <c r="I211" s="44"/>
      <c r="J211" s="44"/>
      <c r="K211" s="153" t="str">
        <f>IFERROR(IF(ISBLANK(J211),"",(IF(J211&lt;H211,J211/H211,1)-IF(I211&lt;H211,I211/H211,1)))*(G211),"Not calculated")</f>
        <v>Not calculated</v>
      </c>
    </row>
    <row r="212" spans="2:11" ht="27.95" customHeight="1" thickBot="1">
      <c r="B212" s="12"/>
      <c r="C212" s="13"/>
      <c r="D212" s="13"/>
      <c r="E212" s="13"/>
      <c r="F212" s="13"/>
      <c r="G212" s="13"/>
      <c r="H212" s="13"/>
      <c r="I212" s="13"/>
      <c r="J212" s="13"/>
      <c r="K212" s="62"/>
    </row>
    <row r="213" spans="2:11" ht="90" customHeight="1">
      <c r="B213" s="12"/>
      <c r="C213" s="179" t="s">
        <v>35</v>
      </c>
      <c r="D213" s="180"/>
      <c r="E213" s="180"/>
      <c r="F213" s="180"/>
      <c r="G213" s="181"/>
      <c r="H213" s="179" t="s">
        <v>79</v>
      </c>
      <c r="I213" s="180"/>
      <c r="J213" s="180"/>
      <c r="K213" s="181"/>
    </row>
    <row r="214" spans="2:11" s="60" customFormat="1" ht="57" customHeight="1" thickBot="1">
      <c r="C214" s="59" t="s">
        <v>4</v>
      </c>
      <c r="D214" s="182" t="s">
        <v>5</v>
      </c>
      <c r="E214" s="182"/>
      <c r="F214" s="41" t="s">
        <v>27</v>
      </c>
      <c r="G214" s="42" t="s">
        <v>7</v>
      </c>
      <c r="H214" s="40" t="s">
        <v>34</v>
      </c>
      <c r="I214" s="63" t="s">
        <v>38</v>
      </c>
      <c r="J214" s="64" t="s">
        <v>39</v>
      </c>
      <c r="K214" s="42" t="s">
        <v>115</v>
      </c>
    </row>
    <row r="215" spans="2:11" ht="33" customHeight="1" thickBot="1">
      <c r="B215" s="114" t="str">
        <f>CONCATENATE($B$11+0.26)</f>
        <v>0.26</v>
      </c>
      <c r="C215" s="44"/>
      <c r="D215" s="115" t="str">
        <f>CONCATENATE(B215,"a")</f>
        <v>0.26a</v>
      </c>
      <c r="E215" s="44"/>
      <c r="F215" s="44"/>
      <c r="G215" s="44"/>
      <c r="H215" s="44"/>
      <c r="I215" s="44"/>
      <c r="J215" s="44"/>
      <c r="K215" s="153" t="str">
        <f>IFERROR(IF(ISBLANK(J215),"",(IF(J215&lt;H215,J215/H215,1)-IF(I215&lt;H215,I215/H215,1)))*(G215),"Not calculated")</f>
        <v>Not calculated</v>
      </c>
    </row>
    <row r="216" spans="2:11" ht="33" customHeight="1" thickBot="1">
      <c r="B216" s="12"/>
      <c r="C216" s="38"/>
      <c r="D216" s="116" t="str">
        <f>CONCATENATE(B215,"b")</f>
        <v>0.26b</v>
      </c>
      <c r="E216" s="44"/>
      <c r="F216" s="44"/>
      <c r="G216" s="44"/>
      <c r="H216" s="44"/>
      <c r="I216" s="44"/>
      <c r="J216" s="44"/>
      <c r="K216" s="153" t="str">
        <f>IFERROR(IF(ISBLANK(J216),"",(IF(J216&lt;H216,J216/H216,1)-IF(I216&lt;H216,I216/H216,1)))*(G216),"Not calculated")</f>
        <v>Not calculated</v>
      </c>
    </row>
    <row r="217" spans="2:11" ht="33" customHeight="1" thickBot="1">
      <c r="B217" s="12"/>
      <c r="C217" s="39"/>
      <c r="D217" s="116" t="str">
        <f>CONCATENATE(B215,"c")</f>
        <v>0.26c</v>
      </c>
      <c r="E217" s="44"/>
      <c r="F217" s="44"/>
      <c r="G217" s="44"/>
      <c r="H217" s="44"/>
      <c r="I217" s="44"/>
      <c r="J217" s="44"/>
      <c r="K217" s="153" t="str">
        <f>IFERROR(IF(ISBLANK(J217),"",(IF(J217&lt;H217,J217/H217,1)-IF(I217&lt;H217,I217/H217,1)))*(G217),"Not calculated")</f>
        <v>Not calculated</v>
      </c>
    </row>
    <row r="218" spans="2:11" ht="33" customHeight="1" thickBot="1">
      <c r="B218" s="12"/>
      <c r="C218" s="39"/>
      <c r="D218" s="116" t="str">
        <f>CONCATENATE(B215,"d")</f>
        <v>0.26d</v>
      </c>
      <c r="E218" s="44"/>
      <c r="F218" s="44"/>
      <c r="G218" s="44"/>
      <c r="H218" s="44"/>
      <c r="I218" s="44"/>
      <c r="J218" s="44"/>
      <c r="K218" s="153" t="str">
        <f>IFERROR(IF(ISBLANK(J218),"",(IF(J218&lt;H218,J218/H218,1)-IF(I218&lt;H218,I218/H218,1)))*(G218),"Not calculated")</f>
        <v>Not calculated</v>
      </c>
    </row>
    <row r="219" spans="2:11" ht="33" customHeight="1" thickBot="1">
      <c r="B219" s="12"/>
      <c r="C219" s="39"/>
      <c r="D219" s="116" t="str">
        <f>CONCATENATE(B215,"e")</f>
        <v>0.26e</v>
      </c>
      <c r="E219" s="44"/>
      <c r="F219" s="44"/>
      <c r="G219" s="44"/>
      <c r="H219" s="44"/>
      <c r="I219" s="44"/>
      <c r="J219" s="44"/>
      <c r="K219" s="153" t="str">
        <f>IFERROR(IF(ISBLANK(J219),"",(IF(J219&lt;H219,J219/H219,1)-IF(I219&lt;H219,I219/H219,1)))*(G219),"Not calculated")</f>
        <v>Not calculated</v>
      </c>
    </row>
    <row r="220" spans="2:11" ht="27.95" customHeight="1" thickBot="1">
      <c r="B220" s="12"/>
      <c r="C220" s="13"/>
      <c r="D220" s="13"/>
      <c r="E220" s="13"/>
      <c r="F220" s="13"/>
      <c r="G220" s="13"/>
      <c r="H220" s="13"/>
      <c r="I220" s="13"/>
      <c r="J220" s="13"/>
      <c r="K220" s="62"/>
    </row>
    <row r="221" spans="2:11" ht="90" customHeight="1">
      <c r="B221" s="12"/>
      <c r="C221" s="179" t="s">
        <v>35</v>
      </c>
      <c r="D221" s="180"/>
      <c r="E221" s="180"/>
      <c r="F221" s="180"/>
      <c r="G221" s="181"/>
      <c r="H221" s="179" t="s">
        <v>79</v>
      </c>
      <c r="I221" s="180"/>
      <c r="J221" s="180"/>
      <c r="K221" s="181"/>
    </row>
    <row r="222" spans="2:11" s="60" customFormat="1" ht="57" customHeight="1" thickBot="1">
      <c r="C222" s="59" t="s">
        <v>4</v>
      </c>
      <c r="D222" s="182" t="s">
        <v>5</v>
      </c>
      <c r="E222" s="182"/>
      <c r="F222" s="41" t="s">
        <v>27</v>
      </c>
      <c r="G222" s="42" t="s">
        <v>7</v>
      </c>
      <c r="H222" s="40" t="s">
        <v>34</v>
      </c>
      <c r="I222" s="63" t="s">
        <v>38</v>
      </c>
      <c r="J222" s="64" t="s">
        <v>39</v>
      </c>
      <c r="K222" s="42" t="s">
        <v>115</v>
      </c>
    </row>
    <row r="223" spans="2:11" ht="33" customHeight="1" thickBot="1">
      <c r="B223" s="114" t="str">
        <f>CONCATENATE($B$11+0.27)</f>
        <v>0.27</v>
      </c>
      <c r="C223" s="44"/>
      <c r="D223" s="115" t="str">
        <f>CONCATENATE(B223,"a")</f>
        <v>0.27a</v>
      </c>
      <c r="E223" s="44"/>
      <c r="F223" s="44"/>
      <c r="G223" s="44"/>
      <c r="H223" s="44"/>
      <c r="I223" s="44"/>
      <c r="J223" s="44"/>
      <c r="K223" s="153" t="str">
        <f>IFERROR(IF(ISBLANK(J223),"",(IF(J223&lt;H223,J223/H223,1)-IF(I223&lt;H223,I223/H223,1)))*(G223),"Not calculated")</f>
        <v>Not calculated</v>
      </c>
    </row>
    <row r="224" spans="2:11" ht="33" customHeight="1" thickBot="1">
      <c r="B224" s="12"/>
      <c r="C224" s="38"/>
      <c r="D224" s="116" t="str">
        <f>CONCATENATE(B223,"b")</f>
        <v>0.27b</v>
      </c>
      <c r="E224" s="44"/>
      <c r="F224" s="44"/>
      <c r="G224" s="44"/>
      <c r="H224" s="44"/>
      <c r="I224" s="44"/>
      <c r="J224" s="44"/>
      <c r="K224" s="153" t="str">
        <f>IFERROR(IF(ISBLANK(J224),"",(IF(J224&lt;H224,J224/H224,1)-IF(I224&lt;H224,I224/H224,1)))*(G224),"Not calculated")</f>
        <v>Not calculated</v>
      </c>
    </row>
    <row r="225" spans="2:11" ht="33" customHeight="1" thickBot="1">
      <c r="B225" s="12"/>
      <c r="C225" s="39"/>
      <c r="D225" s="116" t="str">
        <f>CONCATENATE(B223,"c")</f>
        <v>0.27c</v>
      </c>
      <c r="E225" s="44"/>
      <c r="F225" s="44"/>
      <c r="G225" s="44"/>
      <c r="H225" s="44"/>
      <c r="I225" s="44"/>
      <c r="J225" s="44"/>
      <c r="K225" s="153" t="str">
        <f>IFERROR(IF(ISBLANK(J225),"",(IF(J225&lt;H225,J225/H225,1)-IF(I225&lt;H225,I225/H225,1)))*(G225),"Not calculated")</f>
        <v>Not calculated</v>
      </c>
    </row>
    <row r="226" spans="2:11" ht="33" customHeight="1" thickBot="1">
      <c r="B226" s="12"/>
      <c r="C226" s="39"/>
      <c r="D226" s="116" t="str">
        <f>CONCATENATE(B223,"d")</f>
        <v>0.27d</v>
      </c>
      <c r="E226" s="44"/>
      <c r="F226" s="44"/>
      <c r="G226" s="44"/>
      <c r="H226" s="44"/>
      <c r="I226" s="44"/>
      <c r="J226" s="44"/>
      <c r="K226" s="153" t="str">
        <f>IFERROR(IF(ISBLANK(J226),"",(IF(J226&lt;H226,J226/H226,1)-IF(I226&lt;H226,I226/H226,1)))*(G226),"Not calculated")</f>
        <v>Not calculated</v>
      </c>
    </row>
    <row r="227" spans="2:11" ht="33" customHeight="1" thickBot="1">
      <c r="B227" s="12"/>
      <c r="C227" s="39"/>
      <c r="D227" s="116" t="str">
        <f>CONCATENATE(B223,"e")</f>
        <v>0.27e</v>
      </c>
      <c r="E227" s="44"/>
      <c r="F227" s="44"/>
      <c r="G227" s="44"/>
      <c r="H227" s="44"/>
      <c r="I227" s="44"/>
      <c r="J227" s="44"/>
      <c r="K227" s="153" t="str">
        <f>IFERROR(IF(ISBLANK(J227),"",(IF(J227&lt;H227,J227/H227,1)-IF(I227&lt;H227,I227/H227,1)))*(G227),"Not calculated")</f>
        <v>Not calculated</v>
      </c>
    </row>
    <row r="228" spans="2:11" ht="27.95" customHeight="1" thickBot="1">
      <c r="B228" s="12"/>
      <c r="C228" s="13"/>
      <c r="D228" s="13"/>
      <c r="E228" s="13"/>
      <c r="F228" s="13"/>
      <c r="G228" s="13"/>
      <c r="H228" s="13"/>
      <c r="I228" s="13"/>
      <c r="J228" s="13"/>
      <c r="K228" s="62"/>
    </row>
    <row r="229" spans="2:11" ht="90" customHeight="1">
      <c r="B229" s="12"/>
      <c r="C229" s="179" t="s">
        <v>35</v>
      </c>
      <c r="D229" s="180"/>
      <c r="E229" s="180"/>
      <c r="F229" s="180"/>
      <c r="G229" s="181"/>
      <c r="H229" s="179" t="s">
        <v>79</v>
      </c>
      <c r="I229" s="180"/>
      <c r="J229" s="180"/>
      <c r="K229" s="181"/>
    </row>
    <row r="230" spans="2:11" s="60" customFormat="1" ht="57" customHeight="1" thickBot="1">
      <c r="C230" s="59" t="s">
        <v>4</v>
      </c>
      <c r="D230" s="182" t="s">
        <v>5</v>
      </c>
      <c r="E230" s="182"/>
      <c r="F230" s="41" t="s">
        <v>27</v>
      </c>
      <c r="G230" s="42" t="s">
        <v>7</v>
      </c>
      <c r="H230" s="40" t="s">
        <v>34</v>
      </c>
      <c r="I230" s="63" t="s">
        <v>38</v>
      </c>
      <c r="J230" s="64" t="s">
        <v>39</v>
      </c>
      <c r="K230" s="42" t="s">
        <v>115</v>
      </c>
    </row>
    <row r="231" spans="2:11" ht="33" customHeight="1" thickBot="1">
      <c r="B231" s="114" t="str">
        <f>CONCATENATE($B$11+0.28)</f>
        <v>0.28</v>
      </c>
      <c r="C231" s="44"/>
      <c r="D231" s="115" t="str">
        <f>CONCATENATE(B231,"a")</f>
        <v>0.28a</v>
      </c>
      <c r="E231" s="44"/>
      <c r="F231" s="44"/>
      <c r="G231" s="44"/>
      <c r="H231" s="44"/>
      <c r="I231" s="44"/>
      <c r="J231" s="44"/>
      <c r="K231" s="153" t="str">
        <f>IFERROR(IF(ISBLANK(J231),"",(IF(J231&lt;H231,J231/H231,1)-IF(I231&lt;H231,I231/H231,1)))*(G231),"Not calculated")</f>
        <v>Not calculated</v>
      </c>
    </row>
    <row r="232" spans="2:11" ht="33" customHeight="1" thickBot="1">
      <c r="B232" s="12"/>
      <c r="C232" s="38"/>
      <c r="D232" s="116" t="str">
        <f>CONCATENATE(B231,"b")</f>
        <v>0.28b</v>
      </c>
      <c r="E232" s="44"/>
      <c r="F232" s="44"/>
      <c r="G232" s="44"/>
      <c r="H232" s="44"/>
      <c r="I232" s="44"/>
      <c r="J232" s="44"/>
      <c r="K232" s="153" t="str">
        <f>IFERROR(IF(ISBLANK(J232),"",(IF(J232&lt;H232,J232/H232,1)-IF(I232&lt;H232,I232/H232,1)))*(G232),"Not calculated")</f>
        <v>Not calculated</v>
      </c>
    </row>
    <row r="233" spans="2:11" ht="33" customHeight="1" thickBot="1">
      <c r="B233" s="12"/>
      <c r="C233" s="39"/>
      <c r="D233" s="116" t="str">
        <f>CONCATENATE(B231,"c")</f>
        <v>0.28c</v>
      </c>
      <c r="E233" s="44"/>
      <c r="F233" s="44"/>
      <c r="G233" s="44"/>
      <c r="H233" s="44"/>
      <c r="I233" s="44"/>
      <c r="J233" s="44"/>
      <c r="K233" s="153" t="str">
        <f>IFERROR(IF(ISBLANK(J233),"",(IF(J233&lt;H233,J233/H233,1)-IF(I233&lt;H233,I233/H233,1)))*(G233),"Not calculated")</f>
        <v>Not calculated</v>
      </c>
    </row>
    <row r="234" spans="2:11" ht="33" customHeight="1" thickBot="1">
      <c r="B234" s="12"/>
      <c r="C234" s="39"/>
      <c r="D234" s="116" t="str">
        <f>CONCATENATE(B231,"d")</f>
        <v>0.28d</v>
      </c>
      <c r="E234" s="44"/>
      <c r="F234" s="44"/>
      <c r="G234" s="44"/>
      <c r="H234" s="44"/>
      <c r="I234" s="44"/>
      <c r="J234" s="44"/>
      <c r="K234" s="153" t="str">
        <f>IFERROR(IF(ISBLANK(J234),"",(IF(J234&lt;H234,J234/H234,1)-IF(I234&lt;H234,I234/H234,1)))*(G234),"Not calculated")</f>
        <v>Not calculated</v>
      </c>
    </row>
    <row r="235" spans="2:11" ht="33" customHeight="1" thickBot="1">
      <c r="B235" s="12"/>
      <c r="C235" s="39"/>
      <c r="D235" s="116" t="str">
        <f>CONCATENATE(B231,"e")</f>
        <v>0.28e</v>
      </c>
      <c r="E235" s="44"/>
      <c r="F235" s="44"/>
      <c r="G235" s="44"/>
      <c r="H235" s="44"/>
      <c r="I235" s="44"/>
      <c r="J235" s="44"/>
      <c r="K235" s="153" t="str">
        <f>IFERROR(IF(ISBLANK(J235),"",(IF(J235&lt;H235,J235/H235,1)-IF(I235&lt;H235,I235/H235,1)))*(G235),"Not calculated")</f>
        <v>Not calculated</v>
      </c>
    </row>
    <row r="236" spans="2:11" ht="27.95" customHeight="1" thickBot="1">
      <c r="B236" s="12"/>
      <c r="C236" s="13"/>
      <c r="D236" s="13"/>
      <c r="E236" s="13"/>
      <c r="F236" s="13"/>
      <c r="G236" s="13"/>
      <c r="H236" s="13"/>
      <c r="I236" s="13"/>
      <c r="J236" s="13"/>
      <c r="K236" s="62"/>
    </row>
    <row r="237" spans="2:11" ht="90" customHeight="1">
      <c r="B237" s="12"/>
      <c r="C237" s="179" t="s">
        <v>35</v>
      </c>
      <c r="D237" s="180"/>
      <c r="E237" s="180"/>
      <c r="F237" s="180"/>
      <c r="G237" s="181"/>
      <c r="H237" s="179" t="s">
        <v>79</v>
      </c>
      <c r="I237" s="180"/>
      <c r="J237" s="180"/>
      <c r="K237" s="181"/>
    </row>
    <row r="238" spans="2:11" s="60" customFormat="1" ht="57" customHeight="1" thickBot="1">
      <c r="C238" s="59" t="s">
        <v>4</v>
      </c>
      <c r="D238" s="182" t="s">
        <v>5</v>
      </c>
      <c r="E238" s="182"/>
      <c r="F238" s="41" t="s">
        <v>27</v>
      </c>
      <c r="G238" s="42" t="s">
        <v>7</v>
      </c>
      <c r="H238" s="40" t="s">
        <v>34</v>
      </c>
      <c r="I238" s="63" t="s">
        <v>38</v>
      </c>
      <c r="J238" s="64" t="s">
        <v>39</v>
      </c>
      <c r="K238" s="42" t="s">
        <v>115</v>
      </c>
    </row>
    <row r="239" spans="2:11" ht="33" customHeight="1" thickBot="1">
      <c r="B239" s="114" t="str">
        <f>CONCATENATE($B$11+0.29)</f>
        <v>0.29</v>
      </c>
      <c r="C239" s="44"/>
      <c r="D239" s="115" t="str">
        <f>CONCATENATE(B239,"a")</f>
        <v>0.29a</v>
      </c>
      <c r="E239" s="44"/>
      <c r="F239" s="44"/>
      <c r="G239" s="44"/>
      <c r="H239" s="44"/>
      <c r="I239" s="44"/>
      <c r="J239" s="44"/>
      <c r="K239" s="153" t="str">
        <f>IFERROR(IF(ISBLANK(J239),"",(IF(J239&lt;H239,J239/H239,1)-IF(I239&lt;H239,I239/H239,1)))*(G239),"Not calculated")</f>
        <v>Not calculated</v>
      </c>
    </row>
    <row r="240" spans="2:11" ht="33" customHeight="1" thickBot="1">
      <c r="B240" s="12"/>
      <c r="C240" s="38"/>
      <c r="D240" s="116" t="str">
        <f>CONCATENATE(B239,"b")</f>
        <v>0.29b</v>
      </c>
      <c r="E240" s="44"/>
      <c r="F240" s="44"/>
      <c r="G240" s="44"/>
      <c r="H240" s="44"/>
      <c r="I240" s="44"/>
      <c r="J240" s="44"/>
      <c r="K240" s="153" t="str">
        <f>IFERROR(IF(ISBLANK(J240),"",(IF(J240&lt;H240,J240/H240,1)-IF(I240&lt;H240,I240/H240,1)))*(G240),"Not calculated")</f>
        <v>Not calculated</v>
      </c>
    </row>
    <row r="241" spans="2:11" ht="33" customHeight="1" thickBot="1">
      <c r="B241" s="12"/>
      <c r="C241" s="39"/>
      <c r="D241" s="116" t="str">
        <f>CONCATENATE(B239,"c")</f>
        <v>0.29c</v>
      </c>
      <c r="E241" s="44"/>
      <c r="F241" s="44"/>
      <c r="G241" s="44"/>
      <c r="H241" s="44"/>
      <c r="I241" s="44"/>
      <c r="J241" s="44"/>
      <c r="K241" s="153" t="str">
        <f>IFERROR(IF(ISBLANK(J241),"",(IF(J241&lt;H241,J241/H241,1)-IF(I241&lt;H241,I241/H241,1)))*(G241),"Not calculated")</f>
        <v>Not calculated</v>
      </c>
    </row>
    <row r="242" spans="2:11" ht="33" customHeight="1" thickBot="1">
      <c r="B242" s="12"/>
      <c r="C242" s="39"/>
      <c r="D242" s="116" t="str">
        <f>CONCATENATE(B239,"d")</f>
        <v>0.29d</v>
      </c>
      <c r="E242" s="44"/>
      <c r="F242" s="44"/>
      <c r="G242" s="44"/>
      <c r="H242" s="44"/>
      <c r="I242" s="44"/>
      <c r="J242" s="44"/>
      <c r="K242" s="153" t="str">
        <f>IFERROR(IF(ISBLANK(J242),"",(IF(J242&lt;H242,J242/H242,1)-IF(I242&lt;H242,I242/H242,1)))*(G242),"Not calculated")</f>
        <v>Not calculated</v>
      </c>
    </row>
    <row r="243" spans="2:11" ht="33" customHeight="1" thickBot="1">
      <c r="B243" s="12"/>
      <c r="C243" s="39"/>
      <c r="D243" s="116" t="str">
        <f>CONCATENATE(B239,"e")</f>
        <v>0.29e</v>
      </c>
      <c r="E243" s="44"/>
      <c r="F243" s="44"/>
      <c r="G243" s="44"/>
      <c r="H243" s="44"/>
      <c r="I243" s="44"/>
      <c r="J243" s="44"/>
      <c r="K243" s="153" t="str">
        <f>IFERROR(IF(ISBLANK(J243),"",(IF(J243&lt;H243,J243/H243,1)-IF(I243&lt;H243,I243/H243,1)))*(G243),"Not calculated")</f>
        <v>Not calculated</v>
      </c>
    </row>
    <row r="244" spans="2:11" ht="27.95" customHeight="1" thickBot="1">
      <c r="B244" s="12"/>
      <c r="C244" s="13"/>
      <c r="D244" s="13"/>
      <c r="E244" s="13"/>
      <c r="F244" s="13"/>
      <c r="G244" s="13"/>
      <c r="H244" s="13"/>
      <c r="I244" s="13"/>
      <c r="J244" s="13"/>
      <c r="K244" s="62"/>
    </row>
    <row r="245" spans="2:11" ht="90" customHeight="1">
      <c r="B245" s="12"/>
      <c r="C245" s="179" t="s">
        <v>35</v>
      </c>
      <c r="D245" s="180"/>
      <c r="E245" s="180"/>
      <c r="F245" s="180"/>
      <c r="G245" s="181"/>
      <c r="H245" s="179" t="s">
        <v>79</v>
      </c>
      <c r="I245" s="180"/>
      <c r="J245" s="180"/>
      <c r="K245" s="181"/>
    </row>
    <row r="246" spans="2:11" s="60" customFormat="1" ht="57" customHeight="1" thickBot="1">
      <c r="C246" s="59" t="s">
        <v>4</v>
      </c>
      <c r="D246" s="182" t="s">
        <v>5</v>
      </c>
      <c r="E246" s="182"/>
      <c r="F246" s="41" t="s">
        <v>27</v>
      </c>
      <c r="G246" s="42" t="s">
        <v>7</v>
      </c>
      <c r="H246" s="40" t="s">
        <v>34</v>
      </c>
      <c r="I246" s="63" t="s">
        <v>38</v>
      </c>
      <c r="J246" s="64" t="s">
        <v>39</v>
      </c>
      <c r="K246" s="42" t="s">
        <v>115</v>
      </c>
    </row>
    <row r="247" spans="2:11" ht="33" customHeight="1" thickBot="1">
      <c r="B247" s="114" t="str">
        <f>$B$11&amp;TEXT(".30",".00")</f>
        <v>.30</v>
      </c>
      <c r="C247" s="44"/>
      <c r="D247" s="115" t="str">
        <f>CONCATENATE(B247,"a")</f>
        <v>.30a</v>
      </c>
      <c r="E247" s="44"/>
      <c r="F247" s="44"/>
      <c r="G247" s="44"/>
      <c r="H247" s="44"/>
      <c r="I247" s="44"/>
      <c r="J247" s="44"/>
      <c r="K247" s="153" t="str">
        <f>IFERROR(IF(ISBLANK(J247),"",(IF(J247&lt;H247,J247/H247,1)-IF(I247&lt;H247,I247/H247,1)))*(G247),"Not calculated")</f>
        <v>Not calculated</v>
      </c>
    </row>
    <row r="248" spans="2:11" ht="33" customHeight="1" thickBot="1">
      <c r="B248" s="12"/>
      <c r="C248" s="38"/>
      <c r="D248" s="116" t="str">
        <f>CONCATENATE(B247,"b")</f>
        <v>.30b</v>
      </c>
      <c r="E248" s="44"/>
      <c r="F248" s="44"/>
      <c r="G248" s="44"/>
      <c r="H248" s="44"/>
      <c r="I248" s="44"/>
      <c r="J248" s="44"/>
      <c r="K248" s="153" t="str">
        <f>IFERROR(IF(ISBLANK(J248),"",(IF(J248&lt;H248,J248/H248,1)-IF(I248&lt;H248,I248/H248,1)))*(G248),"Not calculated")</f>
        <v>Not calculated</v>
      </c>
    </row>
    <row r="249" spans="2:11" ht="33" customHeight="1" thickBot="1">
      <c r="B249" s="12"/>
      <c r="C249" s="39"/>
      <c r="D249" s="116" t="str">
        <f>CONCATENATE(B247,"c")</f>
        <v>.30c</v>
      </c>
      <c r="E249" s="44"/>
      <c r="F249" s="44"/>
      <c r="G249" s="44"/>
      <c r="H249" s="44"/>
      <c r="I249" s="44"/>
      <c r="J249" s="44"/>
      <c r="K249" s="153" t="str">
        <f>IFERROR(IF(ISBLANK(J249),"",(IF(J249&lt;H249,J249/H249,1)-IF(I249&lt;H249,I249/H249,1)))*(G249),"Not calculated")</f>
        <v>Not calculated</v>
      </c>
    </row>
    <row r="250" spans="2:11" ht="33" customHeight="1" thickBot="1">
      <c r="B250" s="12"/>
      <c r="C250" s="39"/>
      <c r="D250" s="116" t="str">
        <f>CONCATENATE(B247,"d")</f>
        <v>.30d</v>
      </c>
      <c r="E250" s="44"/>
      <c r="F250" s="44"/>
      <c r="G250" s="44"/>
      <c r="H250" s="44"/>
      <c r="I250" s="44"/>
      <c r="J250" s="44"/>
      <c r="K250" s="153" t="str">
        <f>IFERROR(IF(ISBLANK(J250),"",(IF(J250&lt;H250,J250/H250,1)-IF(I250&lt;H250,I250/H250,1)))*(G250),"Not calculated")</f>
        <v>Not calculated</v>
      </c>
    </row>
    <row r="251" spans="2:11" ht="33" customHeight="1" thickBot="1">
      <c r="B251" s="12"/>
      <c r="C251" s="39"/>
      <c r="D251" s="116" t="str">
        <f>CONCATENATE(B247,"e")</f>
        <v>.30e</v>
      </c>
      <c r="E251" s="44"/>
      <c r="F251" s="44"/>
      <c r="G251" s="44"/>
      <c r="H251" s="44"/>
      <c r="I251" s="44"/>
      <c r="J251" s="44"/>
      <c r="K251" s="153" t="str">
        <f>IFERROR(IF(ISBLANK(J251),"",(IF(J251&lt;H251,J251/H251,1)-IF(I251&lt;H251,I251/H251,1)))*(G251),"Not calculated")</f>
        <v>Not calculated</v>
      </c>
    </row>
    <row r="252" spans="2:11" ht="27.95" customHeight="1">
      <c r="B252" s="12"/>
      <c r="C252" s="13"/>
      <c r="D252" s="13"/>
      <c r="E252" s="13"/>
      <c r="F252" s="13"/>
      <c r="G252" s="13"/>
      <c r="H252" s="13"/>
      <c r="I252" s="13"/>
      <c r="J252" s="13"/>
      <c r="K252" s="62"/>
    </row>
  </sheetData>
  <mergeCells count="91">
    <mergeCell ref="C21:G21"/>
    <mergeCell ref="C77:G77"/>
    <mergeCell ref="C125:G125"/>
    <mergeCell ref="C173:G173"/>
    <mergeCell ref="C221:G221"/>
    <mergeCell ref="D38:E38"/>
    <mergeCell ref="D46:E46"/>
    <mergeCell ref="D54:E54"/>
    <mergeCell ref="D158:E158"/>
    <mergeCell ref="D134:E134"/>
    <mergeCell ref="D22:E22"/>
    <mergeCell ref="D62:E62"/>
    <mergeCell ref="D70:E70"/>
    <mergeCell ref="D78:E78"/>
    <mergeCell ref="C133:G133"/>
    <mergeCell ref="C101:G101"/>
    <mergeCell ref="H61:K61"/>
    <mergeCell ref="H53:K53"/>
    <mergeCell ref="H45:K45"/>
    <mergeCell ref="D246:E246"/>
    <mergeCell ref="C29:G29"/>
    <mergeCell ref="C37:G37"/>
    <mergeCell ref="H93:K93"/>
    <mergeCell ref="D86:E86"/>
    <mergeCell ref="D94:E94"/>
    <mergeCell ref="D30:E30"/>
    <mergeCell ref="C93:G93"/>
    <mergeCell ref="C85:G85"/>
    <mergeCell ref="C53:G53"/>
    <mergeCell ref="C61:G61"/>
    <mergeCell ref="C45:G45"/>
    <mergeCell ref="C69:G69"/>
    <mergeCell ref="B2:E4"/>
    <mergeCell ref="D14:E14"/>
    <mergeCell ref="C13:G13"/>
    <mergeCell ref="H13:K13"/>
    <mergeCell ref="H245:K245"/>
    <mergeCell ref="H237:K237"/>
    <mergeCell ref="H229:K229"/>
    <mergeCell ref="H221:K221"/>
    <mergeCell ref="H213:K213"/>
    <mergeCell ref="H205:K205"/>
    <mergeCell ref="H197:K197"/>
    <mergeCell ref="H189:K189"/>
    <mergeCell ref="H181:K181"/>
    <mergeCell ref="H173:K173"/>
    <mergeCell ref="H165:K165"/>
    <mergeCell ref="H85:K85"/>
    <mergeCell ref="H77:K77"/>
    <mergeCell ref="H69:K69"/>
    <mergeCell ref="H157:K157"/>
    <mergeCell ref="H149:K149"/>
    <mergeCell ref="H141:K141"/>
    <mergeCell ref="H133:K133"/>
    <mergeCell ref="H125:K125"/>
    <mergeCell ref="H117:K117"/>
    <mergeCell ref="H109:K109"/>
    <mergeCell ref="H101:K101"/>
    <mergeCell ref="C109:G109"/>
    <mergeCell ref="C117:G117"/>
    <mergeCell ref="D126:E126"/>
    <mergeCell ref="D102:E102"/>
    <mergeCell ref="D110:E110"/>
    <mergeCell ref="D118:E118"/>
    <mergeCell ref="C149:G149"/>
    <mergeCell ref="C157:G157"/>
    <mergeCell ref="C141:G141"/>
    <mergeCell ref="D142:E142"/>
    <mergeCell ref="D150:E150"/>
    <mergeCell ref="D222:E222"/>
    <mergeCell ref="D230:E230"/>
    <mergeCell ref="C181:G181"/>
    <mergeCell ref="C165:G165"/>
    <mergeCell ref="D166:E166"/>
    <mergeCell ref="D174:E174"/>
    <mergeCell ref="H37:K37"/>
    <mergeCell ref="H29:K29"/>
    <mergeCell ref="H21:K21"/>
    <mergeCell ref="C245:G245"/>
    <mergeCell ref="D182:E182"/>
    <mergeCell ref="D190:E190"/>
    <mergeCell ref="D198:E198"/>
    <mergeCell ref="D206:E206"/>
    <mergeCell ref="C229:G229"/>
    <mergeCell ref="C197:G197"/>
    <mergeCell ref="C205:G205"/>
    <mergeCell ref="D238:E238"/>
    <mergeCell ref="D214:E214"/>
    <mergeCell ref="C189:G189"/>
    <mergeCell ref="C213:G213"/>
    <mergeCell ref="C237:G237"/>
  </mergeCells>
  <dataValidations xWindow="257" yWindow="561" count="17">
    <dataValidation allowBlank="1" showErrorMessage="1" promptTitle="Question?" sqref="I14 I70 I22 I30 I38 I46 I54 I62" xr:uid="{00000000-0002-0000-0400-000000000000}"/>
    <dataValidation allowBlank="1" showInputMessage="1" showErrorMessage="1" promptTitle="Measurement Unit" prompt="This column describes the units used to measure the Biodiversity Attribute" sqref="F28 F36 F44 F52 F60 F68 F76 F84 F92 F100 F108 F116 F124 F132 F140 F148 F156 F164 F172 F180 F188 F196 F204 F212 F220 F244 F228 F247:F252 F236 F20" xr:uid="{00000000-0002-0000-0400-000001000000}"/>
    <dataValidation allowBlank="1" showInputMessage="1" showErrorMessage="1" promptTitle="Biodiversity Attribute" prompt="Biodiversity Attributes quantify the condition or the quantity of the Biodiversity Component. One Attribute will often suffice, but  several Biodiversity Attributes can be used to account for the impact on the identified Biodiversity Component." sqref="E244 E20 E28 E36 E44 E52 E60 E68 E76 E84 E92 E100 E108 E116 E124 E132 E140 E148 E156 E164 E172 E180 E188 E196 E204 E212 E220 E228 E236 E252" xr:uid="{00000000-0002-0000-0400-000002000000}"/>
    <dataValidation allowBlank="1" showInputMessage="1" showErrorMessage="1" promptTitle="Attribute Value" prompt="The Attribute value following the Impact accounting for change in pre and post value (in proportion to the Benchmark), area of Impact, and time of Impact. See 'Guide for Impact Model' for further explanation." sqref="K20 K28 K36 K44 K52 K60 K68 K76 K84 K92 K100 K108 K116 K124 K132 K140 K148 K156 K164 K172 K180 K188 K196 K204 K212 K220 K228 K236 K244 K252" xr:uid="{00000000-0002-0000-0400-000003000000}"/>
    <dataValidation allowBlank="1" showErrorMessage="1" sqref="D15 F11 D23 D31 D39 D47 D55 D63 D71 D79 D87:D91 D95 D103 D111 D119 D127 D135 D143 D151 D159 D167 D175 D183 D191 D199 D207 D215 D223 D231 D239 D247 K9 K15:K19 K23:K27 K31:K35 K39:K43 K47:K51 K55:K59 K63:K67 K71:K75 K79:K83 K87:K91 K95:K99 K103:K107 K111:K115 K119:K123 K127:K131 K135:K139 K143:K147 K151:K155 K159:K163 K167:K171 K175:K179 K183:K187 K191:K195 K199:K203 K207:K211 K215:K219 K223:K227 K231:K235 K239:K243 K247:K251" xr:uid="{00000000-0002-0000-0400-000004000000}"/>
    <dataValidation allowBlank="1" showInputMessage="1" showErrorMessage="1" promptTitle="Area of Impact" prompt="Enter the total area (ha) over which the listed Attribute will be impacted by the proposal. See the  'Guide for Impact Model' for further explanation." sqref="G15:G20 G23:G28 G31:G36 G39:G44 G47:G52 G55:G60 G63:G68 G71:G76 G79:G84 G87:G92 G95:G100 G103:G108 G111:G116 G119:G124 G127:G132 G135:G140 G143:G148 G151:G156 G159:G164 G167:G172 G175:G180 G183:G188 G191:G196 G199:G204 G207:G212 G215:G220 G223:G228 G231:G236 G239:G244 G247:G252" xr:uid="{00000000-0002-0000-0400-000005000000}"/>
    <dataValidation allowBlank="1" showInputMessage="1" showErrorMessage="1" promptTitle="Benchmark " prompt="The Benchmark is a measured or calculated value which the  Attribute measured at the Impact Site is compared against. The Benchmark is mesured in the stated Measurement Unit. See the 'Guide for Impact Model' for further explanation." sqref="H244 H20 H28 H36 H44 H52 H60 H68 H76 H84 H92 H100 H108 H116 H124 H132 H140 H148 H156 H164 H172 H180 H188 H196 H204 H212 H220 H228 H236 H252" xr:uid="{00000000-0002-0000-0400-000006000000}"/>
    <dataValidation allowBlank="1" showInputMessage="1" showErrorMessage="1" promptTitle="Measure prior to Impact" prompt="This is the value of the Attribute measured in the stated Unit of Measurement (Column F) at the Impact site prior to the Impact occurring." sqref="I20 I28 I36 I44 I52 I60 I68 I76 I84 I92 I100 I108 I116 I124 I132 I140 I148 I156 I164 I172 I180 I188 I196 I204 I212 I220 I228 I236 I244 I252" xr:uid="{00000000-0002-0000-0400-000007000000}"/>
    <dataValidation allowBlank="1" showInputMessage="1" showErrorMessage="1" promptTitle="Measure after Impact" prompt="This is the predicted measure of the Attribute value if the proposed Impact was to occur. This value is measured in the stated Measurement Unit (Column F)." sqref="J244 J20 J28 J36 J44 J52 J60 J68 J76 J84 J92 J100 J108 J116 J124 J132 J140 J148 J156 J164 J172 J180 J188 J196 J204 J212 J220 J228 J236 J252" xr:uid="{00000000-0002-0000-0400-000008000000}"/>
    <dataValidation allowBlank="1" showErrorMessage="1" prompt=" " sqref="E11" xr:uid="{00000000-0002-0000-0400-000009000000}"/>
    <dataValidation allowBlank="1" showInputMessage="1" showErrorMessage="1" promptTitle="Biodiversity Type" prompt="Enter a Biodiversity Type. Biodiversity Types capture the key biodiversity features found at the Impact Site. Each Type is accounted for within a seperate workbook." sqref="C11" xr:uid="{00000000-0002-0000-0400-00000A000000}"/>
    <dataValidation allowBlank="1" showInputMessage="1" showErrorMessage="1" promptTitle="Biodiversity Component" prompt="Enter a Biodiversity Component. Biodiversity Components describe what makes up the Biodiversity Type.  " sqref="C15 C23 C31 C39 C47 C55 C63 C71 C79 C87 C95 C103 C111 C119 C127 C135 C143 C151 C159 C167 C175 C183 C191 C199 C207 C215 C223 C231 C239 C247" xr:uid="{00000000-0002-0000-0400-00000B000000}"/>
    <dataValidation allowBlank="1" showInputMessage="1" showErrorMessage="1" promptTitle="Biodiversity Attribute" prompt="Enter a Biodiversity Attribute to quantify the condition or the quantity of the Biodiversity Component. " sqref="E15:E19 E23:E27 E31:E35 E39:E43 E47:E51 E55:E59 E63:E67 E71:E75 E79:E83 E87:E91 E95:E99 E103:E107 E111:E115 E119:E123 E127:E131 E135:E139 E143:E147 E151:E155 E159:E163 E167:E171 E175:E179 E183:E187 E191:E195 E199:E203 E207:E211 E215:E219 E223:E227 E231:E235 E239:E243 E247:E251" xr:uid="{00000000-0002-0000-0400-00000C000000}"/>
    <dataValidation allowBlank="1" showInputMessage="1" showErrorMessage="1" promptTitle="Measurement Unit" prompt="Enter the measurement unit used to measure the Biodiversity Attribute." sqref="F223:F227 F231:F235 F239:F243 F215:F219 F207:F211 F199:F203 F191:F195 F183:F187 F175:F179 F167:F171 F159:F163 F151:F155 F143:F147 F135:F139 F127:F131 F119:F123 F111:F115 F103:F107 F95:F99 F87:F91 F79:F83 F71:F75 F63:F67 F55:F59 F47:F51 F39:F43 F31:F35 F23:F27 F15:F19" xr:uid="{00000000-0002-0000-0400-00000D000000}"/>
    <dataValidation allowBlank="1" showInputMessage="1" showErrorMessage="1" promptTitle="Benchmark " prompt="Enter the Benchmark in the same Measurement Unit as entered in Column F. See the 'Guide for Impact Model' for further explanation of use of Benchmarks." sqref="H15:H19 H23:H27 H31:H35 H39:H43 H47:H51 H55:H59 H63:H67 H71:H75 H79:H83 H87:H91 H95:H99 H103:H107 H111:H115 H119:H123 H127:H131 H135:H139 H143:H147 H151:H155 H159:H163 H167:H171 H175:H179 H183:H187 H191:H195 H199:H203 H207:H211 H215:H219 H223:H227 H231:H235 H239:H243 H247:H251" xr:uid="{00000000-0002-0000-0400-00000E000000}"/>
    <dataValidation allowBlank="1" showInputMessage="1" showErrorMessage="1" promptTitle="Measure prior to Impact" prompt="Enter the Attribute measure at the Impact site prior to the Impact occurring expressed in the stated Unit of Measurement (Column F)." sqref="I15:I19 I23:I27 I31:I35 I39:I43 I47:I51 I55:I59 I63:I67 I71:I75 I79:I83 I87:I91 I95:I99 I103:I107 I111:I115 I119:I123 I127:I131 I135:I139 I143:I147 I151:I155 I159:I163 I167:I171 I175:I179 I183:I187 I191:I195 I199:I203 I207:I211 I215:I219 I223:I227 I231:I235 I239:I243 I247:I251" xr:uid="{00000000-0002-0000-0400-00000F000000}"/>
    <dataValidation allowBlank="1" showInputMessage="1" showErrorMessage="1" promptTitle="Measure after Impact" prompt="Enter the predicted measure of the Attribute value if the proposed Impact was to occur. This value is measured in the stated Measurement Unit (Column F)." sqref="J15:J19 J23:J27 J31:J35 J39:J43 J47:J51 J55:J59 J63:J67 J71:J75 J79:J83 J87:J91 J95:J99 J103:J107 J111:J115 J119:J123 J127:J131 J135:J139 J143:J147 J151:J155 J159:J163 J167:J171 J175:J179 J183:J187 J191:J195 J199:J203 J207:J211 J215:J219 J223:J227 J231:J235 J239:J243 J247:J251" xr:uid="{00000000-0002-0000-0400-000010000000}"/>
  </dataValidation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3" tint="0.39997558519241921"/>
  </sheetPr>
  <dimension ref="B1:BF252"/>
  <sheetViews>
    <sheetView showGridLines="0" tabSelected="1" topLeftCell="A13" zoomScale="85" zoomScaleNormal="85" workbookViewId="0">
      <selection activeCell="N24" sqref="N24"/>
    </sheetView>
  </sheetViews>
  <sheetFormatPr defaultColWidth="10.875" defaultRowHeight="15.75"/>
  <cols>
    <col min="1" max="1" width="4.875" style="5" customWidth="1"/>
    <col min="2" max="2" width="7.5" style="5" customWidth="1"/>
    <col min="3" max="3" width="14.5" style="5" customWidth="1"/>
    <col min="4" max="4" width="5.5" style="5" customWidth="1"/>
    <col min="5" max="7" width="13" style="5" customWidth="1"/>
    <col min="8" max="8" width="26.5" style="5" customWidth="1"/>
    <col min="9" max="11" width="13" style="5" customWidth="1"/>
    <col min="12" max="12" width="16.125" style="5" customWidth="1"/>
    <col min="13" max="18" width="13" style="5" customWidth="1"/>
    <col min="19" max="19" width="4.625" style="5" customWidth="1"/>
    <col min="20" max="20" width="23.125" style="5" customWidth="1"/>
    <col min="21" max="21" width="22.625" style="5" customWidth="1"/>
    <col min="22" max="31" width="11"/>
    <col min="32" max="32" width="22.625" style="5" customWidth="1"/>
    <col min="33" max="33" width="10.875" style="5" customWidth="1"/>
    <col min="34" max="57" width="11"/>
    <col min="58" max="62" width="22.625" style="5" customWidth="1"/>
    <col min="63" max="63" width="5.375" style="5" customWidth="1"/>
    <col min="64" max="16384" width="10.875" style="5"/>
  </cols>
  <sheetData>
    <row r="1" spans="2:58" ht="8.1" customHeight="1"/>
    <row r="2" spans="2:58">
      <c r="B2" s="196" t="s">
        <v>90</v>
      </c>
      <c r="C2" s="196"/>
      <c r="D2" s="196"/>
      <c r="E2" s="196"/>
    </row>
    <row r="3" spans="2:58">
      <c r="B3" s="196"/>
      <c r="C3" s="196"/>
      <c r="D3" s="196"/>
      <c r="E3" s="196"/>
    </row>
    <row r="4" spans="2:58">
      <c r="B4" s="196"/>
      <c r="C4" s="196"/>
      <c r="D4" s="196"/>
      <c r="E4" s="196"/>
    </row>
    <row r="5" spans="2:58" ht="12" customHeight="1"/>
    <row r="6" spans="2:58" ht="24.95" customHeight="1">
      <c r="B6" s="65" t="s">
        <v>41</v>
      </c>
      <c r="C6" s="9"/>
      <c r="D6" s="9"/>
    </row>
    <row r="7" spans="2:58" ht="30" customHeight="1">
      <c r="B7" s="46"/>
      <c r="C7" s="66" t="s">
        <v>42</v>
      </c>
      <c r="D7" s="6"/>
      <c r="E7" s="66" t="s">
        <v>1</v>
      </c>
      <c r="P7" s="24"/>
    </row>
    <row r="8" spans="2:58" ht="30" customHeight="1">
      <c r="B8" s="7"/>
      <c r="C8" s="66" t="s">
        <v>61</v>
      </c>
      <c r="D8" s="8"/>
      <c r="E8" s="66" t="s">
        <v>43</v>
      </c>
      <c r="K8" s="24"/>
    </row>
    <row r="9" spans="2:58" ht="12" customHeight="1" thickBot="1">
      <c r="B9" s="9"/>
      <c r="C9" s="9"/>
      <c r="D9" s="9"/>
      <c r="V9" s="5"/>
      <c r="W9" s="5"/>
      <c r="X9" s="5"/>
      <c r="Y9" s="5"/>
      <c r="Z9" s="5"/>
      <c r="AA9" s="5"/>
      <c r="AB9" s="5"/>
      <c r="AC9" s="5"/>
      <c r="AD9" s="5"/>
      <c r="AE9" s="5"/>
      <c r="AH9" s="5"/>
      <c r="AI9" s="5"/>
      <c r="AJ9" s="5"/>
      <c r="AK9" s="5"/>
      <c r="AL9" s="5"/>
      <c r="AM9" s="5"/>
      <c r="AN9" s="5"/>
      <c r="AO9" s="5"/>
      <c r="AP9" s="5"/>
      <c r="AQ9" s="5"/>
      <c r="AR9" s="5"/>
      <c r="AS9" s="5"/>
      <c r="AT9" s="5"/>
      <c r="AU9" s="5"/>
      <c r="AV9" s="5"/>
      <c r="AW9" s="5"/>
      <c r="AX9" s="5"/>
      <c r="AY9" s="5"/>
      <c r="AZ9" s="5"/>
      <c r="BA9" s="5"/>
      <c r="BB9" s="5"/>
      <c r="BC9" s="5"/>
      <c r="BD9" s="5"/>
      <c r="BE9" s="5"/>
    </row>
    <row r="10" spans="2:58" ht="50.1" customHeight="1" thickBot="1">
      <c r="C10" s="67" t="s">
        <v>3</v>
      </c>
      <c r="D10" s="9"/>
      <c r="E10" s="67" t="s">
        <v>135</v>
      </c>
      <c r="K10" s="24"/>
      <c r="L10" s="24"/>
      <c r="V10" s="5"/>
      <c r="W10" s="5"/>
      <c r="X10" s="5"/>
      <c r="Y10" s="5"/>
      <c r="Z10" s="5"/>
      <c r="AA10" s="5"/>
      <c r="AB10" s="5"/>
      <c r="AC10" s="5"/>
      <c r="AD10" s="5"/>
      <c r="AE10" s="5"/>
      <c r="AH10" s="5"/>
      <c r="AI10" s="5"/>
      <c r="AJ10" s="5"/>
      <c r="AK10" s="5"/>
      <c r="AL10" s="5"/>
      <c r="AM10" s="5"/>
      <c r="AN10" s="5"/>
      <c r="AO10" s="5"/>
      <c r="AP10" s="5"/>
      <c r="AQ10" s="5"/>
      <c r="AR10" s="5"/>
      <c r="AS10" s="5"/>
      <c r="AT10" s="5"/>
      <c r="AU10" s="5"/>
      <c r="AV10" s="5"/>
      <c r="AW10" s="5"/>
      <c r="AX10" s="5"/>
      <c r="AY10" s="5"/>
      <c r="AZ10" s="5"/>
      <c r="BA10" s="5"/>
      <c r="BB10" s="5"/>
      <c r="BC10" s="5"/>
      <c r="BD10" s="5"/>
      <c r="BE10" s="5"/>
    </row>
    <row r="11" spans="2:58" s="60" customFormat="1" ht="30" customHeight="1" thickBot="1">
      <c r="B11" s="144">
        <f>'Impact Model'!B11</f>
        <v>0</v>
      </c>
      <c r="C11" s="145" t="e">
        <f>VLOOKUP(B11,'Impact Model'!$B$10:$L$340,2,FALSE)</f>
        <v>#N/A</v>
      </c>
      <c r="D11" s="12"/>
      <c r="E11" s="70">
        <v>0.03</v>
      </c>
      <c r="M11" s="193"/>
      <c r="N11" s="193"/>
      <c r="O11" s="193"/>
      <c r="P11" s="193"/>
      <c r="Q11" s="193"/>
    </row>
    <row r="12" spans="2:58" ht="26.1" customHeight="1" thickBot="1">
      <c r="B12" s="9"/>
      <c r="C12" s="9"/>
      <c r="D12" s="9"/>
      <c r="V12" s="5"/>
      <c r="W12" s="5"/>
      <c r="X12" s="5"/>
      <c r="Y12" s="5"/>
      <c r="Z12" s="5"/>
      <c r="AA12" s="5"/>
      <c r="AB12" s="5"/>
      <c r="AC12" s="5"/>
      <c r="AD12" s="5"/>
      <c r="AE12" s="5"/>
      <c r="AH12" s="5"/>
      <c r="AI12" s="5"/>
      <c r="AJ12" s="5"/>
      <c r="AK12" s="5"/>
      <c r="AL12" s="5"/>
      <c r="AM12" s="5"/>
      <c r="AN12" s="5"/>
      <c r="AO12" s="5"/>
      <c r="AP12" s="5"/>
      <c r="AQ12" s="5"/>
      <c r="AR12" s="5"/>
      <c r="AS12" s="5"/>
      <c r="AT12" s="5"/>
      <c r="AU12" s="5"/>
      <c r="AV12" s="5"/>
      <c r="AW12" s="5"/>
      <c r="AX12" s="5"/>
      <c r="AY12" s="5"/>
      <c r="AZ12" s="5"/>
      <c r="BA12" s="5"/>
      <c r="BB12" s="5"/>
      <c r="BC12" s="5"/>
      <c r="BD12" s="5"/>
      <c r="BE12" s="5"/>
    </row>
    <row r="13" spans="2:58" s="60" customFormat="1" ht="108" customHeight="1">
      <c r="B13" s="12"/>
      <c r="C13" s="184" t="s">
        <v>47</v>
      </c>
      <c r="D13" s="185"/>
      <c r="E13" s="185"/>
      <c r="F13" s="185"/>
      <c r="G13" s="186"/>
      <c r="H13" s="184" t="s">
        <v>62</v>
      </c>
      <c r="I13" s="185"/>
      <c r="J13" s="186"/>
      <c r="K13" s="187" t="s">
        <v>44</v>
      </c>
      <c r="L13" s="188"/>
      <c r="M13" s="184" t="s">
        <v>78</v>
      </c>
      <c r="N13" s="185"/>
      <c r="O13" s="185"/>
      <c r="P13" s="185"/>
      <c r="Q13" s="185"/>
      <c r="R13" s="186"/>
      <c r="T13" s="154" t="s">
        <v>50</v>
      </c>
      <c r="AG13" s="27"/>
      <c r="BF13" s="68"/>
    </row>
    <row r="14" spans="2:58" s="60" customFormat="1" ht="62.1" customHeight="1" thickBot="1">
      <c r="C14" s="14" t="s">
        <v>4</v>
      </c>
      <c r="D14" s="194" t="s">
        <v>5</v>
      </c>
      <c r="E14" s="195"/>
      <c r="F14" s="34" t="s">
        <v>27</v>
      </c>
      <c r="G14" s="22" t="s">
        <v>33</v>
      </c>
      <c r="H14" s="33" t="s">
        <v>59</v>
      </c>
      <c r="I14" s="34" t="s">
        <v>150</v>
      </c>
      <c r="J14" s="22" t="s">
        <v>25</v>
      </c>
      <c r="K14" s="189"/>
      <c r="L14" s="190"/>
      <c r="M14" s="35" t="s">
        <v>55</v>
      </c>
      <c r="N14" s="35" t="s">
        <v>56</v>
      </c>
      <c r="O14" s="33" t="s">
        <v>45</v>
      </c>
      <c r="P14" s="34" t="s">
        <v>129</v>
      </c>
      <c r="Q14" s="35" t="s">
        <v>131</v>
      </c>
      <c r="R14" s="69" t="s">
        <v>51</v>
      </c>
      <c r="S14" s="15"/>
      <c r="T14" s="97" t="s">
        <v>52</v>
      </c>
      <c r="AF14" s="15"/>
      <c r="AG14" s="27"/>
      <c r="BF14" s="15"/>
    </row>
    <row r="15" spans="2:58" s="60" customFormat="1" ht="44.1" customHeight="1" thickBot="1">
      <c r="B15" s="11" t="str">
        <f>CONCATENATE($B$11+0.1)</f>
        <v>0.1</v>
      </c>
      <c r="C15" s="21" t="str">
        <f>VLOOKUP(B15,'Impact Model'!$B$15:$L$340,2,FALSE)</f>
        <v>% cover</v>
      </c>
      <c r="D15" s="11" t="str">
        <f>CONCATENATE($B15,"a")</f>
        <v>0.1a</v>
      </c>
      <c r="E15" s="21" t="str">
        <f>VLOOKUP(D15,'Impact Model'!$D$15:$L$340,2,FALSE)</f>
        <v>% cover within extent of tussock grassland</v>
      </c>
      <c r="F15" s="21" t="str">
        <f t="array" ref="F15">INDEX('Impact Model'!$D$15:$F$340,MATCH(D15&amp;E15,'Impact Model'!$D$15:$D$340&amp;'Impact Model'!$E$15:$E$340,0),3)</f>
        <v>%</v>
      </c>
      <c r="G15" s="21">
        <f t="array" ref="G15">INDEX('Impact Model'!$D$15:$H$340,MATCH(D15&amp;E15,'Impact Model'!$D$15:$D$340&amp;'Impact Model'!$E$15:$E$340,0),5)</f>
        <v>95</v>
      </c>
      <c r="H15" s="93" t="s">
        <v>157</v>
      </c>
      <c r="I15" s="94">
        <v>39.299999999999997</v>
      </c>
      <c r="J15" s="142" t="s">
        <v>167</v>
      </c>
      <c r="K15" s="142" t="s">
        <v>145</v>
      </c>
      <c r="L15" s="143" t="str">
        <f>IF(K15="Finite end point","Continue to Column M",IF(K15="Five yearly time-step","Switch to Offset Model_5 yearly"))</f>
        <v>Continue to Column M</v>
      </c>
      <c r="M15" s="70">
        <v>15.46</v>
      </c>
      <c r="N15" s="70">
        <v>50</v>
      </c>
      <c r="O15" s="70">
        <v>30</v>
      </c>
      <c r="P15" s="4">
        <f>IF(K15="Finite end point",IFERROR(IF(ISBLANK(O15),"",((IF($J15="Low confidence &gt;50% &lt;75%",(IF(N15&lt;$G15,N15/$G15,1)-IF(M15&lt;$G15,M15/$G15,1))*0.62,IF($J15="Confident 75-90%",(IF(N15&lt;$G15,N15/$G15,1)-IF(M15&lt;$G15,M15/$G15,1))*0.825,IF($J15="Very confident &gt;90%",(IF(N15&lt;$G15,N15/$G15,1)-IF(M15&lt;$G15,M15/$G15,1))*0.955)))))/(1+$E$11)^O15)*(I15),"Not calculated"),"Not calculated")</f>
        <v>5.6218325892336765</v>
      </c>
      <c r="Q15" s="4">
        <f t="array" ref="Q15">INDEX('Impact Model'!$D$15:$L$340,MATCH(D15&amp;E15,'Impact Model'!$D$15:$D$340&amp;'Impact Model'!$E$15:$E$340,0),8)</f>
        <v>-5.4700526315789482</v>
      </c>
      <c r="R15" s="4">
        <f>IF(K15="Choose option", "Not calculated",IF(K15="Finite end point",SUM(P15:Q15),IF(COUNTIF(#REF!,"&gt;=0")&lt;1,INDEX(#REF!,1,COUNT(#REF!)),INDEX(#REF!,1,MATCH(TRUE,INDEX(#REF!&gt;=0,1,0),)))))</f>
        <v>0.15177995765472829</v>
      </c>
      <c r="S15" s="16"/>
      <c r="T15" s="4">
        <f>IF(R15="Not calculated","Not calculated",SUM(R15:R19)/ROUND(COUNTIF(R15:R19,"&gt;0")+COUNTIF(R15:R19,"&lt;0"),0))</f>
        <v>0.15177995765472829</v>
      </c>
      <c r="U15" s="113"/>
      <c r="AF15" s="32"/>
      <c r="AG15" s="27"/>
      <c r="BF15" s="32"/>
    </row>
    <row r="16" spans="2:58" ht="44.1" customHeight="1" thickBot="1">
      <c r="B16" s="17"/>
      <c r="C16" s="17"/>
      <c r="D16" s="11" t="str">
        <f>CONCATENATE($B15,"b")</f>
        <v>0.1b</v>
      </c>
      <c r="E16" s="21">
        <f>VLOOKUP(D16,'Impact Model'!$D$15:$L$340,2,FALSE)</f>
        <v>0</v>
      </c>
      <c r="F16" s="21" t="e">
        <f t="array" ref="F16">INDEX('Impact Model'!$D$15:$F$340,MATCH(D16&amp;E16,'Impact Model'!$D$15:$D$340&amp;'Impact Model'!$E$15:$E$340,0),3)</f>
        <v>#N/A</v>
      </c>
      <c r="G16" s="21" t="e">
        <f t="array" ref="G16">INDEX('Impact Model'!$D$15:$H$340,MATCH(D16&amp;E16,'Impact Model'!$D$15:$D$340&amp;'Impact Model'!$E$15:$E$340,0),5)</f>
        <v>#N/A</v>
      </c>
      <c r="H16" s="93"/>
      <c r="I16" s="94"/>
      <c r="J16" s="142" t="s">
        <v>67</v>
      </c>
      <c r="K16" s="142" t="s">
        <v>77</v>
      </c>
      <c r="L16" s="143" t="b">
        <f>IF(K16="Finite end point","Continue to Column M",IF(K16="Five yearly time-step","Switch to Offset Model_5 yearly"))</f>
        <v>0</v>
      </c>
      <c r="M16" s="70"/>
      <c r="N16" s="70"/>
      <c r="O16" s="70"/>
      <c r="P16" s="4" t="str">
        <f>IF(K16="Finite end point",IFERROR(IF(ISBLANK(O16),"",((IF($J16="Low confidence &gt;50% &lt;75%",(IF(N16&lt;$G16,N16/$G16,1)-IF(M16&lt;$G16,M16/$G16,1))*0.62,IF($J16="Confident 75-90%",(IF(N16&lt;$G16,N16/$G16,1)-IF(M16&lt;$G16,M16/$G16,1))*0.825,IF($J16="Very confident &gt;90%",(IF(N16&lt;$G16,N16/$G16,1)-IF(M16&lt;$G16,M16/$G16,1))*0.955)))))/(1+$E$11)^O16)*(I16),"Not calculated"),"Not calculated")</f>
        <v>Not calculated</v>
      </c>
      <c r="Q16" s="4" t="e">
        <f t="array" ref="Q16">INDEX('Impact Model'!$D$15:$L$340,MATCH(D16&amp;E16,'Impact Model'!$D$15:$D$340&amp;'Impact Model'!$E$15:$E$340,0),8)</f>
        <v>#N/A</v>
      </c>
      <c r="R16" s="4" t="str">
        <f>IF(K16="Choose option", "Not calculated",IF(K16="Finite end point",SUM(P16:Q16),IF(COUNTIF(#REF!,"&gt;=0")&lt;1,INDEX(#REF!,1,COUNT(#REF!)),INDEX(#REF!,1,MATCH(TRUE,INDEX(#REF!&gt;=0,1,0),)))))</f>
        <v>Not calculated</v>
      </c>
      <c r="S16" s="18"/>
      <c r="T16" s="3"/>
      <c r="AF16" s="13"/>
      <c r="AG16"/>
      <c r="BF16" s="13"/>
    </row>
    <row r="17" spans="2:58" ht="44.1" customHeight="1" thickBot="1">
      <c r="B17" s="19"/>
      <c r="C17" s="19"/>
      <c r="D17" s="11" t="str">
        <f>CONCATENATE($B15,"c")</f>
        <v>0.1c</v>
      </c>
      <c r="E17" s="21">
        <f>VLOOKUP(D17,'Impact Model'!$D$15:$L$340,2,FALSE)</f>
        <v>0</v>
      </c>
      <c r="F17" s="21" t="e">
        <f t="array" ref="F17">INDEX('Impact Model'!$D$15:$F$340,MATCH(D17&amp;E17,'Impact Model'!$D$15:$D$340&amp;'Impact Model'!$E$15:$E$340,0),3)</f>
        <v>#N/A</v>
      </c>
      <c r="G17" s="21" t="e">
        <f t="array" ref="G17">INDEX('Impact Model'!$D$15:$H$340,MATCH(D17&amp;E17,'Impact Model'!$D$15:$D$340&amp;'Impact Model'!$E$15:$E$340,0),5)</f>
        <v>#N/A</v>
      </c>
      <c r="H17" s="93"/>
      <c r="I17" s="94"/>
      <c r="J17" s="142" t="s">
        <v>67</v>
      </c>
      <c r="K17" s="142" t="s">
        <v>77</v>
      </c>
      <c r="L17" s="143" t="b">
        <f>IF(K17="Finite end point","Continue to Column M",IF(K17="Five yearly time-step","Switch to Offset Model_5 yearly"))</f>
        <v>0</v>
      </c>
      <c r="M17" s="70"/>
      <c r="N17" s="70"/>
      <c r="O17" s="70"/>
      <c r="P17" s="4" t="str">
        <f>IF(K17="Finite end point",IFERROR(IF(ISBLANK(O17),"",((IF($J17="Low confidence &gt;50% &lt;75%",(IF(N17&lt;$G17,N17/$G17,1)-IF(M17&lt;$G17,M17/$G17,1))*0.62,IF($J17="Confident 75-90%",(IF(N17&lt;$G17,N17/$G17,1)-IF(M17&lt;$G17,M17/$G17,1))*0.825,IF($J17="Very confident &gt;90%",(IF(N17&lt;$G17,N17/$G17,1)-IF(M17&lt;$G17,M17/$G17,1))*0.955)))))/(1+$E$11)^O17)*(I17),"Not calculated"),"Not calculated")</f>
        <v>Not calculated</v>
      </c>
      <c r="Q17" s="4" t="e">
        <f t="array" ref="Q17">INDEX('Impact Model'!$D$15:$L$340,MATCH(D17&amp;E17,'Impact Model'!$D$15:$D$340&amp;'Impact Model'!$E$15:$E$340,0),8)</f>
        <v>#N/A</v>
      </c>
      <c r="R17" s="4" t="str">
        <f>IF(K17="Choose option", "Not calculated",IF(K17="Finite end point",SUM(P17:Q17),IF(COUNTIF(#REF!,"&gt;=0")&lt;1,INDEX(#REF!,1,COUNT(#REF!)),INDEX(#REF!,1,MATCH(TRUE,INDEX(#REF!&gt;=0,1,0),)))))</f>
        <v>Not calculated</v>
      </c>
      <c r="S17" s="18"/>
      <c r="T17" s="121"/>
      <c r="AF17" s="13"/>
      <c r="AG17"/>
      <c r="BF17" s="13"/>
    </row>
    <row r="18" spans="2:58" ht="44.1" customHeight="1" thickBot="1">
      <c r="B18" s="19"/>
      <c r="C18" s="19"/>
      <c r="D18" s="11" t="str">
        <f>CONCATENATE($B15,"d")</f>
        <v>0.1d</v>
      </c>
      <c r="E18" s="21">
        <f>VLOOKUP(D18,'Impact Model'!$D$15:$L$340,2,FALSE)</f>
        <v>0</v>
      </c>
      <c r="F18" s="21" t="e">
        <f t="array" ref="F18">INDEX('Impact Model'!$D$15:$F$340,MATCH(D18&amp;E18,'Impact Model'!$D$15:$D$340&amp;'Impact Model'!$E$15:$E$340,0),3)</f>
        <v>#N/A</v>
      </c>
      <c r="G18" s="21" t="e">
        <f t="array" ref="G18">INDEX('Impact Model'!$D$15:$H$340,MATCH(D18&amp;E18,'Impact Model'!$D$15:$D$340&amp;'Impact Model'!$E$15:$E$340,0),5)</f>
        <v>#N/A</v>
      </c>
      <c r="H18" s="93"/>
      <c r="I18" s="94"/>
      <c r="J18" s="142" t="s">
        <v>67</v>
      </c>
      <c r="K18" s="142" t="s">
        <v>77</v>
      </c>
      <c r="L18" s="143" t="b">
        <f>IF(K18="Finite end point","Continue to Column M",IF(K18="Five yearly time-step","Switch to Offset Model_5 yearly"))</f>
        <v>0</v>
      </c>
      <c r="M18" s="70"/>
      <c r="N18" s="70"/>
      <c r="O18" s="70"/>
      <c r="P18" s="4" t="str">
        <f>IF(K18="Finite end point",IFERROR(IF(ISBLANK(O18),"",((IF($J18="Low confidence &gt;50% &lt;75%",(IF(N18&lt;$G18,N18/$G18,1)-IF(M18&lt;$G18,M18/$G18,1))*0.62,IF($J18="Confident 75-90%",(IF(N18&lt;$G18,N18/$G18,1)-IF(M18&lt;$G18,M18/$G18,1))*0.825,IF($J18="Very confident &gt;90%",(IF(N18&lt;$G18,N18/$G18,1)-IF(M18&lt;$G18,M18/$G18,1))*0.955)))))/(1+$E$11)^O18)*(I18),"Not calculated"),"Not calculated")</f>
        <v>Not calculated</v>
      </c>
      <c r="Q18" s="4" t="e">
        <f t="array" ref="Q18">INDEX('Impact Model'!$D$15:$L$340,MATCH(D18&amp;E18,'Impact Model'!$D$15:$D$340&amp;'Impact Model'!$E$15:$E$340,0),8)</f>
        <v>#N/A</v>
      </c>
      <c r="R18" s="4" t="str">
        <f>IF(K18="Choose option", "Not calculated",IF(K18="Finite end point",SUM(P18:Q18),IF(COUNTIF(#REF!,"&gt;=0")&lt;1,INDEX(#REF!,1,COUNT(#REF!)),INDEX(#REF!,1,MATCH(TRUE,INDEX(#REF!&gt;=0,1,0),)))))</f>
        <v>Not calculated</v>
      </c>
      <c r="S18" s="18"/>
      <c r="T18" s="3"/>
      <c r="AF18" s="13"/>
      <c r="AG18"/>
      <c r="BF18" s="13"/>
    </row>
    <row r="19" spans="2:58" ht="44.1" customHeight="1" thickBot="1">
      <c r="B19" s="19"/>
      <c r="C19" s="19"/>
      <c r="D19" s="11" t="str">
        <f>CONCATENATE($B15,"e")</f>
        <v>0.1e</v>
      </c>
      <c r="E19" s="21">
        <f>VLOOKUP(D19,'Impact Model'!$D$15:$L$340,2,FALSE)</f>
        <v>0</v>
      </c>
      <c r="F19" s="21" t="e">
        <f t="array" ref="F19">INDEX('Impact Model'!$D$15:$F$340,MATCH(D19&amp;E19,'Impact Model'!$D$15:$D$340&amp;'Impact Model'!$E$15:$E$340,0),3)</f>
        <v>#N/A</v>
      </c>
      <c r="G19" s="21" t="e">
        <f t="array" ref="G19">INDEX('Impact Model'!$D$15:$H$340,MATCH(D19&amp;E19,'Impact Model'!$D$15:$D$340&amp;'Impact Model'!$E$15:$E$340,0),5)</f>
        <v>#N/A</v>
      </c>
      <c r="H19" s="93"/>
      <c r="I19" s="94"/>
      <c r="J19" s="142" t="s">
        <v>67</v>
      </c>
      <c r="K19" s="142" t="s">
        <v>77</v>
      </c>
      <c r="L19" s="143" t="b">
        <f>IF(K19="Finite end point","Continue to Column M",IF(K19="Five yearly time-step","Switch to Offset Model_5 yearly"))</f>
        <v>0</v>
      </c>
      <c r="M19" s="70"/>
      <c r="N19" s="70"/>
      <c r="O19" s="70"/>
      <c r="P19" s="4" t="str">
        <f>IF(K19="Finite end point",IFERROR(IF(ISBLANK(O19),"",((IF($J19="Low confidence &gt;50% &lt;75%",(IF(N19&lt;$G19,N19/$G19,1)-IF(M19&lt;$G19,M19/$G19,1))*0.62,IF($J19="Confident 75-90%",(IF(N19&lt;$G19,N19/$G19,1)-IF(M19&lt;$G19,M19/$G19,1))*0.825,IF($J19="Very confident &gt;90%",(IF(N19&lt;$G19,N19/$G19,1)-IF(M19&lt;$G19,M19/$G19,1))*0.955)))))/(1+$E$11)^O19)*(I19),"Not calculated"),"Not calculated")</f>
        <v>Not calculated</v>
      </c>
      <c r="Q19" s="4" t="e">
        <f t="array" ref="Q19">INDEX('Impact Model'!$D$15:$L$340,MATCH(D19&amp;E19,'Impact Model'!$D$15:$D$340&amp;'Impact Model'!$E$15:$E$340,0),8)</f>
        <v>#N/A</v>
      </c>
      <c r="R19" s="4" t="str">
        <f>IF(K19="Choose option", "Not calculated",IF(K19="Finite end point",SUM(P19:Q19),IF(COUNTIF(#REF!,"&gt;=0")&lt;1,INDEX(#REF!,1,COUNT(#REF!)),INDEX(#REF!,1,MATCH(TRUE,INDEX(#REF!&gt;=0,1,0),)))))</f>
        <v>Not calculated</v>
      </c>
      <c r="S19" s="18"/>
      <c r="T19" s="3"/>
      <c r="AF19" s="13"/>
      <c r="AG19"/>
      <c r="BF19" s="13"/>
    </row>
    <row r="20" spans="2:58" ht="15.95" customHeight="1" thickBot="1">
      <c r="P20" s="20"/>
      <c r="Q20" s="20"/>
      <c r="R20" s="20"/>
      <c r="AG20"/>
    </row>
    <row r="21" spans="2:58" s="60" customFormat="1" ht="108" customHeight="1">
      <c r="B21" s="12"/>
      <c r="C21" s="184" t="s">
        <v>47</v>
      </c>
      <c r="D21" s="185"/>
      <c r="E21" s="185"/>
      <c r="F21" s="185"/>
      <c r="G21" s="186"/>
      <c r="H21" s="184" t="s">
        <v>62</v>
      </c>
      <c r="I21" s="185"/>
      <c r="J21" s="186"/>
      <c r="K21" s="187" t="s">
        <v>44</v>
      </c>
      <c r="L21" s="188"/>
      <c r="M21" s="184" t="s">
        <v>78</v>
      </c>
      <c r="N21" s="185"/>
      <c r="O21" s="185"/>
      <c r="P21" s="185"/>
      <c r="Q21" s="185"/>
      <c r="R21" s="186"/>
      <c r="T21" s="154" t="s">
        <v>50</v>
      </c>
      <c r="AG21" s="27"/>
      <c r="BF21" s="68"/>
    </row>
    <row r="22" spans="2:58" s="60" customFormat="1" ht="62.1" customHeight="1" thickBot="1">
      <c r="C22" s="147" t="s">
        <v>4</v>
      </c>
      <c r="D22" s="191" t="s">
        <v>5</v>
      </c>
      <c r="E22" s="192"/>
      <c r="F22" s="34" t="s">
        <v>27</v>
      </c>
      <c r="G22" s="69" t="s">
        <v>33</v>
      </c>
      <c r="H22" s="33" t="s">
        <v>59</v>
      </c>
      <c r="I22" s="34" t="s">
        <v>20</v>
      </c>
      <c r="J22" s="22" t="s">
        <v>25</v>
      </c>
      <c r="K22" s="189"/>
      <c r="L22" s="190"/>
      <c r="M22" s="35" t="s">
        <v>84</v>
      </c>
      <c r="N22" s="35" t="s">
        <v>85</v>
      </c>
      <c r="O22" s="33" t="s">
        <v>45</v>
      </c>
      <c r="P22" s="34" t="s">
        <v>129</v>
      </c>
      <c r="Q22" s="35" t="s">
        <v>131</v>
      </c>
      <c r="R22" s="69" t="s">
        <v>51</v>
      </c>
      <c r="S22" s="15"/>
      <c r="T22" s="97" t="s">
        <v>52</v>
      </c>
      <c r="AF22" s="15"/>
      <c r="AG22" s="27"/>
      <c r="BF22" s="15"/>
    </row>
    <row r="23" spans="2:58" s="60" customFormat="1" ht="44.1" customHeight="1" thickBot="1">
      <c r="B23" s="11" t="str">
        <f>CONCATENATE($B$11+0.2)</f>
        <v>0.2</v>
      </c>
      <c r="C23" s="21" t="str">
        <f>VLOOKUP(B23,'Impact Model'!$B$15:$L$340,2,FALSE)</f>
        <v>Inter-tussock Indigeneity</v>
      </c>
      <c r="D23" s="11" t="str">
        <f>CONCATENATE($B23,"a")</f>
        <v>0.2a</v>
      </c>
      <c r="E23" s="21" t="str">
        <f>VLOOKUP(D23,'Impact Model'!$D$15:$L$340,2,FALSE)</f>
        <v>Representation by indigenous species</v>
      </c>
      <c r="F23" s="21" t="str">
        <f t="array" ref="F23">INDEX('Impact Model'!$D$15:$F$340,MATCH(D23&amp;E23,'Impact Model'!$D$15:$D$340&amp;'Impact Model'!$E$15:$E$340,0),3)</f>
        <v>%</v>
      </c>
      <c r="G23" s="21">
        <f t="array" ref="G23">INDEX('Impact Model'!$D$15:$H$340,MATCH(D23&amp;E23,'Impact Model'!$D$15:$D$340&amp;'Impact Model'!$E$15:$E$340,0),5)</f>
        <v>0.8</v>
      </c>
      <c r="H23" s="93" t="s">
        <v>162</v>
      </c>
      <c r="I23" s="94">
        <v>39.299999999999997</v>
      </c>
      <c r="J23" s="142" t="s">
        <v>149</v>
      </c>
      <c r="K23" s="142" t="s">
        <v>145</v>
      </c>
      <c r="L23" s="143" t="str">
        <f>IF(K23="Finite end point","Continue to Column M",IF(K23="Five yearly time-step","Switch to Offset Model_5 yearly"))</f>
        <v>Continue to Column M</v>
      </c>
      <c r="M23" s="70">
        <v>0.15927750410509031</v>
      </c>
      <c r="N23" s="70">
        <v>0.2</v>
      </c>
      <c r="O23" s="70">
        <v>30</v>
      </c>
      <c r="P23" s="4">
        <f>IF(K23="Finite end point",IFERROR(IF(ISBLANK(O23),"",((IF($J23="Low confidence &gt;50% &lt;75%",(IF(N23&lt;$G23,N23/$G23,1)-IF(M23&lt;$G23,M23/$G23,1))*0.62,IF($J23="Confident 75-90%",(IF(N23&lt;$G23,N23/$G23,1)-IF(M23&lt;$G23,M23/$G23,1))*0.825,IF($J23="Very confident &gt;90%",(IF(N23&lt;$G23,N23/$G23,1)-IF(M23&lt;$G23,M23/$G23,1))*0.955)))))/(1+$E$11)^O23)*(I23),"Not calculated"),"Not calculated")</f>
        <v>0.679945586243907</v>
      </c>
      <c r="Q23" s="4">
        <f t="array" ref="Q23">INDEX('Impact Model'!$D$15:$L$340,MATCH(D23&amp;E23,'Impact Model'!$D$15:$D$340&amp;'Impact Model'!$E$15:$E$340,0),8)</f>
        <v>-0.21030713170223841</v>
      </c>
      <c r="R23" s="4">
        <f>IF(K23="Choose option", "Not calculated",IF(K23="Finite end point",SUM(P23:Q23),IF(COUNTIF(#REF!,"&gt;=0")&lt;1,INDEX(#REF!,1,COUNT(#REF!)),INDEX(#REF!,1,MATCH(TRUE,INDEX(#REF!&gt;=0,1,0),)))))</f>
        <v>0.46963845454166858</v>
      </c>
      <c r="S23" s="16"/>
      <c r="T23" s="4">
        <f>IF(R23="Not calculated","Not calculated",SUM(R23:R27)/ROUND(COUNTIF(R23:R27,"&gt;0")+COUNTIF(R23:R27,"&lt;0"),0))</f>
        <v>0.46963845454166858</v>
      </c>
      <c r="U23" s="113"/>
      <c r="AF23" s="32"/>
      <c r="AG23" s="27"/>
      <c r="BF23" s="32"/>
    </row>
    <row r="24" spans="2:58" ht="44.1" customHeight="1" thickBot="1">
      <c r="B24" s="17"/>
      <c r="C24" s="17"/>
      <c r="D24" s="11" t="str">
        <f>CONCATENATE($B23,"b")</f>
        <v>0.2b</v>
      </c>
      <c r="E24" s="21">
        <f>VLOOKUP(D24,'Impact Model'!$D$15:$L$340,2,FALSE)</f>
        <v>0</v>
      </c>
      <c r="F24" s="21" t="e">
        <f t="array" ref="F24">INDEX('Impact Model'!$D$15:$F$340,MATCH(D24&amp;E24,'Impact Model'!$D$15:$D$340&amp;'Impact Model'!$E$15:$E$340,0),3)</f>
        <v>#N/A</v>
      </c>
      <c r="G24" s="21" t="e">
        <f t="array" ref="G24">INDEX('Impact Model'!$D$15:$H$340,MATCH(D24&amp;E24,'Impact Model'!$D$15:$D$340&amp;'Impact Model'!$E$15:$E$340,0),5)</f>
        <v>#N/A</v>
      </c>
      <c r="H24" s="93"/>
      <c r="I24" s="94"/>
      <c r="J24" s="142" t="s">
        <v>67</v>
      </c>
      <c r="K24" s="142" t="s">
        <v>77</v>
      </c>
      <c r="L24" s="143" t="b">
        <f>IF(K24="Finite end point","Continue to Column M",IF(K24="Five yearly time-step","Switch to Offset Model_5 yearly"))</f>
        <v>0</v>
      </c>
      <c r="M24" s="70"/>
      <c r="N24" s="70">
        <v>425</v>
      </c>
      <c r="O24" s="70"/>
      <c r="P24" s="4" t="str">
        <f t="shared" ref="P24:P27" si="0">IF(K24="Finite end point",IFERROR(IF(ISBLANK(O24),"",((IF($J24="Low confidence &gt;50% &lt;75%",(IF(N24&lt;$G24,N24/$G24,1)-IF(M24&lt;$G24,M24/$G24,1))*0.62,IF($J24="Confident 75-90%",(IF(N24&lt;$G24,N24/$G24,1)-IF(M24&lt;$G24,M24/$G24,1))*0.825,IF($J24="Very confident &gt;90%",(IF(N24&lt;$G24,N24/$G24,1)-IF(M24&lt;$G24,M24/$G24,1))*0.955)))))/(1+$E$11)^O24)*(I24),"Not calculated"),"Not calculated")</f>
        <v>Not calculated</v>
      </c>
      <c r="Q24" s="4" t="e">
        <f t="array" ref="Q24">INDEX('Impact Model'!$D$15:$L$340,MATCH(D24&amp;E24,'Impact Model'!$D$15:$D$340&amp;'Impact Model'!$E$15:$E$340,0),8)</f>
        <v>#N/A</v>
      </c>
      <c r="R24" s="4" t="str">
        <f>IF(K24="Choose option", "Not calculated",IF(K24="Finite end point",SUM(P24:Q24),IF(COUNTIF(#REF!,"&gt;=0")&lt;1,INDEX(#REF!,1,COUNT(#REF!)),INDEX(#REF!,1,MATCH(TRUE,INDEX(#REF!&gt;=0,1,0),)))))</f>
        <v>Not calculated</v>
      </c>
      <c r="S24" s="18"/>
      <c r="T24" s="3"/>
      <c r="AF24" s="13"/>
      <c r="AG24"/>
      <c r="BF24" s="13"/>
    </row>
    <row r="25" spans="2:58" ht="44.1" customHeight="1" thickBot="1">
      <c r="B25" s="19"/>
      <c r="C25" s="19"/>
      <c r="D25" s="11" t="str">
        <f>CONCATENATE($B23,"c")</f>
        <v>0.2c</v>
      </c>
      <c r="E25" s="21">
        <f>VLOOKUP(D25,'Impact Model'!$D$15:$L$340,2,FALSE)</f>
        <v>0</v>
      </c>
      <c r="F25" s="21" t="e">
        <f t="array" ref="F25">INDEX('Impact Model'!$D$15:$F$340,MATCH(D25&amp;E25,'Impact Model'!$D$15:$D$340&amp;'Impact Model'!$E$15:$E$340,0),3)</f>
        <v>#N/A</v>
      </c>
      <c r="G25" s="21" t="e">
        <f t="array" ref="G25">INDEX('Impact Model'!$D$15:$H$340,MATCH(D25&amp;E25,'Impact Model'!$D$15:$D$340&amp;'Impact Model'!$E$15:$E$340,0),5)</f>
        <v>#N/A</v>
      </c>
      <c r="H25" s="93"/>
      <c r="I25" s="94"/>
      <c r="J25" s="142" t="s">
        <v>67</v>
      </c>
      <c r="K25" s="142" t="s">
        <v>77</v>
      </c>
      <c r="L25" s="143" t="b">
        <f>IF(K25="Finite end point","Continue to Column M",IF(K25="Five yearly time-step","Switch to Offset Model_5 yearly"))</f>
        <v>0</v>
      </c>
      <c r="M25" s="70"/>
      <c r="N25" s="70"/>
      <c r="O25" s="70"/>
      <c r="P25" s="4" t="str">
        <f t="shared" si="0"/>
        <v>Not calculated</v>
      </c>
      <c r="Q25" s="4" t="e">
        <f t="array" ref="Q25">INDEX('Impact Model'!$D$15:$L$340,MATCH(D25&amp;E25,'Impact Model'!$D$15:$D$340&amp;'Impact Model'!$E$15:$E$340,0),8)</f>
        <v>#N/A</v>
      </c>
      <c r="R25" s="4" t="str">
        <f>IF(K25="Choose option", "Not calculated",IF(K25="Finite end point",SUM(P25:Q25),IF(COUNTIF(#REF!,"&gt;=0")&lt;1,INDEX(#REF!,1,COUNT(#REF!)),INDEX(#REF!,1,MATCH(TRUE,INDEX(#REF!&gt;=0,1,0),)))))</f>
        <v>Not calculated</v>
      </c>
      <c r="S25" s="18"/>
      <c r="T25" s="121"/>
      <c r="AF25" s="13"/>
      <c r="AG25"/>
      <c r="BF25" s="13"/>
    </row>
    <row r="26" spans="2:58" ht="44.1" customHeight="1" thickBot="1">
      <c r="B26" s="19"/>
      <c r="C26" s="19"/>
      <c r="D26" s="11" t="str">
        <f>CONCATENATE($B23,"d")</f>
        <v>0.2d</v>
      </c>
      <c r="E26" s="21">
        <f>VLOOKUP(D26,'Impact Model'!$D$15:$L$340,2,FALSE)</f>
        <v>0</v>
      </c>
      <c r="F26" s="21" t="e">
        <f t="array" ref="F26">INDEX('Impact Model'!$D$15:$F$340,MATCH(D26&amp;E26,'Impact Model'!$D$15:$D$340&amp;'Impact Model'!$E$15:$E$340,0),3)</f>
        <v>#N/A</v>
      </c>
      <c r="G26" s="21" t="e">
        <f t="array" ref="G26">INDEX('Impact Model'!$D$15:$H$340,MATCH(D26&amp;E26,'Impact Model'!$D$15:$D$340&amp;'Impact Model'!$E$15:$E$340,0),5)</f>
        <v>#N/A</v>
      </c>
      <c r="H26" s="93"/>
      <c r="I26" s="94"/>
      <c r="J26" s="142" t="s">
        <v>67</v>
      </c>
      <c r="K26" s="142" t="s">
        <v>77</v>
      </c>
      <c r="L26" s="143" t="b">
        <f>IF(K26="Finite end point","Continue to Column M",IF(K26="Five yearly time-step","Switch to Offset Model_5 yearly"))</f>
        <v>0</v>
      </c>
      <c r="M26" s="70"/>
      <c r="N26" s="70"/>
      <c r="O26" s="70"/>
      <c r="P26" s="4" t="str">
        <f t="shared" si="0"/>
        <v>Not calculated</v>
      </c>
      <c r="Q26" s="4" t="e">
        <f t="array" ref="Q26">INDEX('Impact Model'!$D$15:$L$340,MATCH(D26&amp;E26,'Impact Model'!$D$15:$D$340&amp;'Impact Model'!$E$15:$E$340,0),8)</f>
        <v>#N/A</v>
      </c>
      <c r="R26" s="4" t="str">
        <f>IF(K26="Choose option", "Not calculated",IF(K26="Finite end point",SUM(P26:Q26),IF(COUNTIF(#REF!,"&gt;=0")&lt;1,INDEX(#REF!,1,COUNT(#REF!)),INDEX(#REF!,1,MATCH(TRUE,INDEX(#REF!&gt;=0,1,0),)))))</f>
        <v>Not calculated</v>
      </c>
      <c r="S26" s="18"/>
      <c r="T26" s="3"/>
      <c r="AF26" s="13"/>
      <c r="AG26"/>
      <c r="BF26" s="13"/>
    </row>
    <row r="27" spans="2:58" ht="44.1" customHeight="1" thickBot="1">
      <c r="B27" s="19"/>
      <c r="C27" s="19"/>
      <c r="D27" s="11" t="str">
        <f>CONCATENATE($B23,"e")</f>
        <v>0.2e</v>
      </c>
      <c r="E27" s="21">
        <f>VLOOKUP(D27,'Impact Model'!$D$15:$L$340,2,FALSE)</f>
        <v>0</v>
      </c>
      <c r="F27" s="21" t="e">
        <f t="array" ref="F27">INDEX('Impact Model'!$D$15:$F$340,MATCH(D27&amp;E27,'Impact Model'!$D$15:$D$340&amp;'Impact Model'!$E$15:$E$340,0),3)</f>
        <v>#N/A</v>
      </c>
      <c r="G27" s="21" t="e">
        <f t="array" ref="G27">INDEX('Impact Model'!$D$15:$H$340,MATCH(D27&amp;E27,'Impact Model'!$D$15:$D$340&amp;'Impact Model'!$E$15:$E$340,0),5)</f>
        <v>#N/A</v>
      </c>
      <c r="H27" s="93"/>
      <c r="I27" s="94"/>
      <c r="J27" s="142" t="s">
        <v>67</v>
      </c>
      <c r="K27" s="142" t="s">
        <v>77</v>
      </c>
      <c r="L27" s="143" t="b">
        <f>IF(K27="Finite end point","Continue to Column M",IF(K27="Five yearly time-step","Switch to Offset Model_5 yearly"))</f>
        <v>0</v>
      </c>
      <c r="M27" s="70"/>
      <c r="N27" s="70"/>
      <c r="O27" s="70"/>
      <c r="P27" s="4" t="str">
        <f t="shared" si="0"/>
        <v>Not calculated</v>
      </c>
      <c r="Q27" s="4" t="e">
        <f t="array" ref="Q27">INDEX('Impact Model'!$D$15:$L$340,MATCH(D27&amp;E27,'Impact Model'!$D$15:$D$340&amp;'Impact Model'!$E$15:$E$340,0),8)</f>
        <v>#N/A</v>
      </c>
      <c r="R27" s="4" t="str">
        <f>IF(K27="Choose option", "Not calculated",IF(K27="Finite end point",SUM(P27:Q27),IF(COUNTIF(#REF!,"&gt;=0")&lt;1,INDEX(#REF!,1,COUNT(#REF!)),INDEX(#REF!,1,MATCH(TRUE,INDEX(#REF!&gt;=0,1,0),)))))</f>
        <v>Not calculated</v>
      </c>
      <c r="S27" s="18"/>
      <c r="T27" s="3"/>
      <c r="AF27" s="13"/>
      <c r="AG27"/>
      <c r="BF27" s="13"/>
    </row>
    <row r="28" spans="2:58" ht="15.95" customHeight="1" thickBot="1"/>
    <row r="29" spans="2:58" s="60" customFormat="1" ht="108" customHeight="1">
      <c r="B29" s="12"/>
      <c r="C29" s="184" t="s">
        <v>47</v>
      </c>
      <c r="D29" s="185"/>
      <c r="E29" s="185"/>
      <c r="F29" s="185"/>
      <c r="G29" s="186"/>
      <c r="H29" s="184" t="s">
        <v>62</v>
      </c>
      <c r="I29" s="185"/>
      <c r="J29" s="186"/>
      <c r="K29" s="187" t="s">
        <v>44</v>
      </c>
      <c r="L29" s="188"/>
      <c r="M29" s="184" t="s">
        <v>78</v>
      </c>
      <c r="N29" s="185"/>
      <c r="O29" s="185"/>
      <c r="P29" s="185"/>
      <c r="Q29" s="185"/>
      <c r="R29" s="186"/>
      <c r="T29" s="154" t="s">
        <v>50</v>
      </c>
      <c r="AG29" s="27"/>
      <c r="BF29" s="68"/>
    </row>
    <row r="30" spans="2:58" s="60" customFormat="1" ht="62.1" customHeight="1" thickBot="1">
      <c r="C30" s="147" t="s">
        <v>4</v>
      </c>
      <c r="D30" s="191" t="s">
        <v>5</v>
      </c>
      <c r="E30" s="192"/>
      <c r="F30" s="34" t="s">
        <v>27</v>
      </c>
      <c r="G30" s="69" t="s">
        <v>33</v>
      </c>
      <c r="H30" s="33" t="s">
        <v>59</v>
      </c>
      <c r="I30" s="34" t="s">
        <v>20</v>
      </c>
      <c r="J30" s="22" t="s">
        <v>25</v>
      </c>
      <c r="K30" s="189"/>
      <c r="L30" s="190"/>
      <c r="M30" s="148" t="s">
        <v>84</v>
      </c>
      <c r="N30" s="148" t="s">
        <v>85</v>
      </c>
      <c r="O30" s="33" t="s">
        <v>45</v>
      </c>
      <c r="P30" s="34" t="s">
        <v>129</v>
      </c>
      <c r="Q30" s="35" t="s">
        <v>131</v>
      </c>
      <c r="R30" s="69" t="s">
        <v>51</v>
      </c>
      <c r="S30" s="15"/>
      <c r="T30" s="97" t="s">
        <v>52</v>
      </c>
      <c r="AF30" s="15"/>
      <c r="AG30" s="27"/>
      <c r="BF30" s="15"/>
    </row>
    <row r="31" spans="2:58" s="60" customFormat="1" ht="44.1" customHeight="1" thickBot="1">
      <c r="B31" s="11" t="str">
        <f>CONCATENATE($B$11+0.3)</f>
        <v>0.3</v>
      </c>
      <c r="C31" s="21">
        <f>VLOOKUP(B31,'Impact Model'!$B$15:$L$340,2,FALSE)</f>
        <v>0</v>
      </c>
      <c r="D31" s="11" t="str">
        <f>CONCATENATE($B31,"a")</f>
        <v>0.3a</v>
      </c>
      <c r="E31" s="21">
        <f>VLOOKUP(D31,'Impact Model'!$D$15:$L$340,2,FALSE)</f>
        <v>0</v>
      </c>
      <c r="F31" s="21" t="e">
        <f t="array" ref="F31">INDEX('Impact Model'!$D$15:$F$340,MATCH(D31&amp;E31,'Impact Model'!$D$15:$D$340&amp;'Impact Model'!$E$15:$E$340,0),3)</f>
        <v>#N/A</v>
      </c>
      <c r="G31" s="21" t="e">
        <f t="array" ref="G31">INDEX('Impact Model'!$D$15:$H$340,MATCH(D31&amp;E31,'Impact Model'!$D$15:$D$340&amp;'Impact Model'!$E$15:$E$340,0),5)</f>
        <v>#N/A</v>
      </c>
      <c r="H31" s="93" t="s">
        <v>148</v>
      </c>
      <c r="I31" s="94">
        <v>152</v>
      </c>
      <c r="J31" s="142" t="s">
        <v>67</v>
      </c>
      <c r="K31" s="142" t="s">
        <v>145</v>
      </c>
      <c r="L31" s="143" t="str">
        <f>IF(K31="Finite end point","Continue to Column M",IF(K31="Five yearly time-step","Switch to Offset Model_5 yearly"))</f>
        <v>Continue to Column M</v>
      </c>
      <c r="M31" s="70">
        <v>2.78</v>
      </c>
      <c r="N31" s="70">
        <v>11.3</v>
      </c>
      <c r="O31" s="70">
        <v>10</v>
      </c>
      <c r="P31" s="4" t="str">
        <f>IF(K31="Finite end point",IFERROR(IF(ISBLANK(O31),"",((IF($J31="Low confidence &gt;50% &lt;75%",(IF(N31&lt;$G31,N31/$G31,1)-IF(M31&lt;$G31,M31/$G31,1))*0.62,IF($J31="Confident 75-90%",(IF(N31&lt;$G31,N31/$G31,1)-IF(M31&lt;$G31,M31/$G31,1))*0.825,IF($J31="Very confident &gt;90%",(IF(N31&lt;$G31,N31/$G31,1)-IF(M31&lt;$G31,M31/$G31,1))*0.955)))))/(1+$E$11)^O31)*(I31),"Not calculated"),"Not calculated")</f>
        <v>Not calculated</v>
      </c>
      <c r="Q31" s="4" t="e">
        <f t="array" ref="Q31">INDEX('Impact Model'!$D$15:$L$340,MATCH(D31&amp;E31,'Impact Model'!$D$15:$D$340&amp;'Impact Model'!$E$15:$E$340,0),8)</f>
        <v>#N/A</v>
      </c>
      <c r="R31" s="4" t="e">
        <f>IF(K31="Choose option", "Not calculated",IF(K31="Finite end point",SUM(P31:Q31),IF(COUNTIF(#REF!,"&gt;=0")&lt;1,INDEX(#REF!,1,COUNT(#REF!)),INDEX(#REF!,1,MATCH(TRUE,INDEX(#REF!&gt;=0,1,0),)))))</f>
        <v>#N/A</v>
      </c>
      <c r="S31" s="16"/>
      <c r="T31" s="4" t="e">
        <f>IF(R31="Not calculated","Not calculated",SUM(R31:R35)/ROUND(COUNTIF(R31:R35,"&gt;0")+COUNTIF(R31:R35,"&lt;0"),0))</f>
        <v>#N/A</v>
      </c>
      <c r="U31" s="113"/>
      <c r="AF31" s="32"/>
      <c r="AG31" s="27"/>
      <c r="BF31" s="32"/>
    </row>
    <row r="32" spans="2:58" ht="44.1" customHeight="1" thickBot="1">
      <c r="B32" s="17"/>
      <c r="C32" s="17"/>
      <c r="D32" s="11" t="str">
        <f>CONCATENATE($B31,"b")</f>
        <v>0.3b</v>
      </c>
      <c r="E32" s="21">
        <f>VLOOKUP(D32,'Impact Model'!$D$15:$L$340,2,FALSE)</f>
        <v>0</v>
      </c>
      <c r="F32" s="21" t="e">
        <f t="array" ref="F32">INDEX('Impact Model'!$D$15:$F$340,MATCH(D32&amp;E32,'Impact Model'!$D$15:$D$340&amp;'Impact Model'!$E$15:$E$340,0),3)</f>
        <v>#N/A</v>
      </c>
      <c r="G32" s="21" t="e">
        <f t="array" ref="G32">INDEX('Impact Model'!$D$15:$H$340,MATCH(D32&amp;E32,'Impact Model'!$D$15:$D$340&amp;'Impact Model'!$E$15:$E$340,0),5)</f>
        <v>#N/A</v>
      </c>
      <c r="H32" s="93"/>
      <c r="I32" s="94"/>
      <c r="J32" s="142" t="s">
        <v>67</v>
      </c>
      <c r="K32" s="142" t="s">
        <v>77</v>
      </c>
      <c r="L32" s="143" t="b">
        <f>IF(K32="Finite end point","Continue to Column M",IF(K32="Five yearly time-step","Switch to Offset Model_5 yearly"))</f>
        <v>0</v>
      </c>
      <c r="M32" s="70"/>
      <c r="N32" s="70"/>
      <c r="O32" s="70"/>
      <c r="P32" s="4" t="str">
        <f t="shared" ref="P32:P35" si="1">IF(K32="Finite end point",IFERROR(IF(ISBLANK(O32),"",((IF($J32="Low confidence &gt;50% &lt;75%",(IF(N32&lt;$G32,N32/$G32,1)-IF(M32&lt;$G32,M32/$G32,1))*0.62,IF($J32="Confident 75-90%",(IF(N32&lt;$G32,N32/$G32,1)-IF(M32&lt;$G32,M32/$G32,1))*0.825,IF($J32="Very confident &gt;90%",(IF(N32&lt;$G32,N32/$G32,1)-IF(M32&lt;$G32,M32/$G32,1))*0.955)))))/(1+$E$11)^O32)*(I32),"Not calculated"),"Not calculated")</f>
        <v>Not calculated</v>
      </c>
      <c r="Q32" s="4" t="e">
        <f t="array" ref="Q32">INDEX('Impact Model'!$D$15:$L$340,MATCH(D32&amp;E32,'Impact Model'!$D$15:$D$340&amp;'Impact Model'!$E$15:$E$340,0),8)</f>
        <v>#N/A</v>
      </c>
      <c r="R32" s="4" t="str">
        <f>IF(K32="Choose option", "Not calculated",IF(K32="Finite end point",SUM(P32:Q32),IF(COUNTIF(#REF!,"&gt;=0")&lt;1,INDEX(#REF!,1,COUNT(#REF!)),INDEX(#REF!,1,MATCH(TRUE,INDEX(#REF!&gt;=0,1,0),)))))</f>
        <v>Not calculated</v>
      </c>
      <c r="S32" s="18"/>
      <c r="T32" s="3"/>
      <c r="AF32" s="13"/>
      <c r="AG32"/>
      <c r="BF32" s="13"/>
    </row>
    <row r="33" spans="2:58" ht="44.1" customHeight="1" thickBot="1">
      <c r="B33" s="19"/>
      <c r="C33" s="19"/>
      <c r="D33" s="11" t="str">
        <f>CONCATENATE($B31,"c")</f>
        <v>0.3c</v>
      </c>
      <c r="E33" s="21">
        <f>VLOOKUP(D33,'Impact Model'!$D$15:$L$340,2,FALSE)</f>
        <v>0</v>
      </c>
      <c r="F33" s="21" t="e">
        <f t="array" ref="F33">INDEX('Impact Model'!$D$15:$F$340,MATCH(D33&amp;E33,'Impact Model'!$D$15:$D$340&amp;'Impact Model'!$E$15:$E$340,0),3)</f>
        <v>#N/A</v>
      </c>
      <c r="G33" s="21" t="e">
        <f t="array" ref="G33">INDEX('Impact Model'!$D$15:$H$340,MATCH(D33&amp;E33,'Impact Model'!$D$15:$D$340&amp;'Impact Model'!$E$15:$E$340,0),5)</f>
        <v>#N/A</v>
      </c>
      <c r="H33" s="93"/>
      <c r="I33" s="94"/>
      <c r="J33" s="142" t="s">
        <v>67</v>
      </c>
      <c r="K33" s="142" t="s">
        <v>77</v>
      </c>
      <c r="L33" s="143" t="b">
        <f>IF(K33="Finite end point","Continue to Column M",IF(K33="Five yearly time-step","Switch to Offset Model_5 yearly"))</f>
        <v>0</v>
      </c>
      <c r="M33" s="70"/>
      <c r="N33" s="70"/>
      <c r="O33" s="70"/>
      <c r="P33" s="4" t="str">
        <f t="shared" si="1"/>
        <v>Not calculated</v>
      </c>
      <c r="Q33" s="4" t="e">
        <f t="array" ref="Q33">INDEX('Impact Model'!$D$15:$L$340,MATCH(D33&amp;E33,'Impact Model'!$D$15:$D$340&amp;'Impact Model'!$E$15:$E$340,0),8)</f>
        <v>#N/A</v>
      </c>
      <c r="R33" s="4" t="str">
        <f>IF(K33="Choose option", "Not calculated",IF(K33="Finite end point",SUM(P33:Q33),IF(COUNTIF(#REF!,"&gt;=0")&lt;1,INDEX(#REF!,1,COUNT(#REF!)),INDEX(#REF!,1,MATCH(TRUE,INDEX(#REF!&gt;=0,1,0),)))))</f>
        <v>Not calculated</v>
      </c>
      <c r="S33" s="18"/>
      <c r="T33" s="121"/>
      <c r="AF33" s="13"/>
      <c r="AG33"/>
      <c r="BF33" s="13"/>
    </row>
    <row r="34" spans="2:58" ht="44.1" customHeight="1" thickBot="1">
      <c r="B34" s="19"/>
      <c r="C34" s="19"/>
      <c r="D34" s="11" t="str">
        <f>CONCATENATE($B31,"d")</f>
        <v>0.3d</v>
      </c>
      <c r="E34" s="21">
        <f>VLOOKUP(D34,'Impact Model'!$D$15:$L$340,2,FALSE)</f>
        <v>0</v>
      </c>
      <c r="F34" s="21" t="e">
        <f t="array" ref="F34">INDEX('Impact Model'!$D$15:$F$340,MATCH(D34&amp;E34,'Impact Model'!$D$15:$D$340&amp;'Impact Model'!$E$15:$E$340,0),3)</f>
        <v>#N/A</v>
      </c>
      <c r="G34" s="21" t="e">
        <f t="array" ref="G34">INDEX('Impact Model'!$D$15:$H$340,MATCH(D34&amp;E34,'Impact Model'!$D$15:$D$340&amp;'Impact Model'!$E$15:$E$340,0),5)</f>
        <v>#N/A</v>
      </c>
      <c r="H34" s="93"/>
      <c r="I34" s="94"/>
      <c r="J34" s="142" t="s">
        <v>67</v>
      </c>
      <c r="K34" s="142" t="s">
        <v>77</v>
      </c>
      <c r="L34" s="143" t="b">
        <f>IF(K34="Finite end point","Continue to Column M",IF(K34="Five yearly time-step","Switch to Offset Model_5 yearly"))</f>
        <v>0</v>
      </c>
      <c r="M34" s="70"/>
      <c r="N34" s="70"/>
      <c r="O34" s="70"/>
      <c r="P34" s="4" t="str">
        <f t="shared" si="1"/>
        <v>Not calculated</v>
      </c>
      <c r="Q34" s="4" t="e">
        <f t="array" ref="Q34">INDEX('Impact Model'!$D$15:$L$340,MATCH(D34&amp;E34,'Impact Model'!$D$15:$D$340&amp;'Impact Model'!$E$15:$E$340,0),8)</f>
        <v>#N/A</v>
      </c>
      <c r="R34" s="4" t="str">
        <f>IF(K34="Choose option", "Not calculated",IF(K34="Finite end point",SUM(P34:Q34),IF(COUNTIF(#REF!,"&gt;=0")&lt;1,INDEX(#REF!,1,COUNT(#REF!)),INDEX(#REF!,1,MATCH(TRUE,INDEX(#REF!&gt;=0,1,0),)))))</f>
        <v>Not calculated</v>
      </c>
      <c r="S34" s="18"/>
      <c r="T34" s="3"/>
      <c r="AF34" s="13"/>
      <c r="AG34"/>
      <c r="BF34" s="13"/>
    </row>
    <row r="35" spans="2:58" ht="44.1" customHeight="1" thickBot="1">
      <c r="B35" s="19"/>
      <c r="C35" s="19"/>
      <c r="D35" s="11" t="str">
        <f>CONCATENATE($B31,"e")</f>
        <v>0.3e</v>
      </c>
      <c r="E35" s="21">
        <f>VLOOKUP(D35,'Impact Model'!$D$15:$L$340,2,FALSE)</f>
        <v>0</v>
      </c>
      <c r="F35" s="21" t="e">
        <f t="array" ref="F35">INDEX('Impact Model'!$D$15:$F$340,MATCH(D35&amp;E35,'Impact Model'!$D$15:$D$340&amp;'Impact Model'!$E$15:$E$340,0),3)</f>
        <v>#N/A</v>
      </c>
      <c r="G35" s="21" t="e">
        <f t="array" ref="G35">INDEX('Impact Model'!$D$15:$H$340,MATCH(D35&amp;E35,'Impact Model'!$D$15:$D$340&amp;'Impact Model'!$E$15:$E$340,0),5)</f>
        <v>#N/A</v>
      </c>
      <c r="H35" s="93"/>
      <c r="I35" s="94"/>
      <c r="J35" s="142" t="s">
        <v>67</v>
      </c>
      <c r="K35" s="142" t="s">
        <v>77</v>
      </c>
      <c r="L35" s="143" t="b">
        <f>IF(K35="Finite end point","Continue to Column M",IF(K35="Five yearly time-step","Switch to Offset Model_5 yearly"))</f>
        <v>0</v>
      </c>
      <c r="M35" s="70"/>
      <c r="N35" s="70"/>
      <c r="O35" s="70"/>
      <c r="P35" s="4" t="str">
        <f t="shared" si="1"/>
        <v>Not calculated</v>
      </c>
      <c r="Q35" s="4" t="e">
        <f t="array" ref="Q35">INDEX('Impact Model'!$D$15:$L$340,MATCH(D35&amp;E35,'Impact Model'!$D$15:$D$340&amp;'Impact Model'!$E$15:$E$340,0),8)</f>
        <v>#N/A</v>
      </c>
      <c r="R35" s="4" t="str">
        <f>IF(K35="Choose option", "Not calculated",IF(K35="Finite end point",SUM(P35:Q35),IF(COUNTIF(#REF!,"&gt;=0")&lt;1,INDEX(#REF!,1,COUNT(#REF!)),INDEX(#REF!,1,MATCH(TRUE,INDEX(#REF!&gt;=0,1,0),)))))</f>
        <v>Not calculated</v>
      </c>
      <c r="S35" s="18"/>
      <c r="T35" s="3"/>
      <c r="AF35" s="13"/>
      <c r="AG35"/>
      <c r="BF35" s="13"/>
    </row>
    <row r="36" spans="2:58" ht="15.95" customHeight="1" thickBot="1"/>
    <row r="37" spans="2:58" s="60" customFormat="1" ht="108" customHeight="1">
      <c r="B37" s="12"/>
      <c r="C37" s="184" t="s">
        <v>47</v>
      </c>
      <c r="D37" s="185"/>
      <c r="E37" s="185"/>
      <c r="F37" s="185"/>
      <c r="G37" s="186"/>
      <c r="H37" s="184" t="s">
        <v>62</v>
      </c>
      <c r="I37" s="185"/>
      <c r="J37" s="186"/>
      <c r="K37" s="187" t="s">
        <v>44</v>
      </c>
      <c r="L37" s="188"/>
      <c r="M37" s="184" t="s">
        <v>78</v>
      </c>
      <c r="N37" s="185"/>
      <c r="O37" s="185"/>
      <c r="P37" s="185"/>
      <c r="Q37" s="185"/>
      <c r="R37" s="186"/>
      <c r="T37" s="154" t="s">
        <v>50</v>
      </c>
      <c r="AG37" s="27"/>
      <c r="BF37" s="68"/>
    </row>
    <row r="38" spans="2:58" s="60" customFormat="1" ht="62.1" customHeight="1" thickBot="1">
      <c r="C38" s="147" t="s">
        <v>4</v>
      </c>
      <c r="D38" s="191" t="s">
        <v>5</v>
      </c>
      <c r="E38" s="192"/>
      <c r="F38" s="34" t="s">
        <v>27</v>
      </c>
      <c r="G38" s="69" t="s">
        <v>33</v>
      </c>
      <c r="H38" s="33" t="s">
        <v>59</v>
      </c>
      <c r="I38" s="34" t="s">
        <v>20</v>
      </c>
      <c r="J38" s="22" t="s">
        <v>25</v>
      </c>
      <c r="K38" s="189"/>
      <c r="L38" s="190"/>
      <c r="M38" s="148" t="s">
        <v>84</v>
      </c>
      <c r="N38" s="148" t="s">
        <v>85</v>
      </c>
      <c r="O38" s="33" t="s">
        <v>45</v>
      </c>
      <c r="P38" s="34" t="s">
        <v>129</v>
      </c>
      <c r="Q38" s="35" t="s">
        <v>131</v>
      </c>
      <c r="R38" s="69" t="s">
        <v>51</v>
      </c>
      <c r="S38" s="15"/>
      <c r="T38" s="97" t="s">
        <v>52</v>
      </c>
      <c r="AF38" s="15"/>
      <c r="AG38" s="27"/>
      <c r="BF38" s="15"/>
    </row>
    <row r="39" spans="2:58" s="60" customFormat="1" ht="44.1" customHeight="1" thickBot="1">
      <c r="B39" s="11" t="str">
        <f>CONCATENATE($B$11+0.4)</f>
        <v>0.4</v>
      </c>
      <c r="C39" s="21">
        <f>VLOOKUP(B39,'Impact Model'!$B$15:$L$340,2,FALSE)</f>
        <v>0</v>
      </c>
      <c r="D39" s="11" t="str">
        <f>CONCATENATE($B39,"a")</f>
        <v>0.4a</v>
      </c>
      <c r="E39" s="21">
        <f>VLOOKUP(D39,'Impact Model'!$D$15:$L$340,2,FALSE)</f>
        <v>0</v>
      </c>
      <c r="F39" s="21" t="e">
        <f t="array" ref="F39">INDEX('Impact Model'!$D$15:$F$340,MATCH(D39&amp;E39,'Impact Model'!$D$15:$D$340&amp;'Impact Model'!$E$15:$E$340,0),3)</f>
        <v>#N/A</v>
      </c>
      <c r="G39" s="21" t="e">
        <f t="array" ref="G39">INDEX('Impact Model'!$D$15:$H$340,MATCH(D39&amp;E39,'Impact Model'!$D$15:$D$340&amp;'Impact Model'!$E$15:$E$340,0),5)</f>
        <v>#N/A</v>
      </c>
      <c r="H39" s="93"/>
      <c r="I39" s="94"/>
      <c r="J39" s="142" t="s">
        <v>149</v>
      </c>
      <c r="K39" s="142" t="s">
        <v>145</v>
      </c>
      <c r="L39" s="143" t="str">
        <f>IF(K39="Finite end point","Continue to Column M",IF(K39="Five yearly time-step","Switch to Offset Model_5 yearly"))</f>
        <v>Continue to Column M</v>
      </c>
      <c r="M39" s="70"/>
      <c r="N39" s="70"/>
      <c r="O39" s="70"/>
      <c r="P39" s="4" t="str">
        <f>IF(K39="Finite end point",IFERROR(IF(ISBLANK(O39),"",((IF($J39="Low confidence &gt;50% &lt;75%",(IF(N39&lt;$G39,N39/$G39,1)-IF(M39&lt;$G39,M39/$G39,1))*0.62,IF($J39="Confident 75-90%",(IF(N39&lt;$G39,N39/$G39,1)-IF(M39&lt;$G39,M39/$G39,1))*0.825,IF($J39="Very confident &gt;90%",(IF(N39&lt;$G39,N39/$G39,1)-IF(M39&lt;$G39,M39/$G39,1))*0.955)))))/(1+$E$11)^O39)*(I39),"Not calculated"),"Not calculated")</f>
        <v>Not calculated</v>
      </c>
      <c r="Q39" s="4" t="e">
        <f t="array" ref="Q39">INDEX('Impact Model'!$D$15:$L$340,MATCH(D39&amp;E39,'Impact Model'!$D$15:$D$340&amp;'Impact Model'!$E$15:$E$340,0),8)</f>
        <v>#N/A</v>
      </c>
      <c r="R39" s="4" t="e">
        <f>IF(K39="Choose option", "Not calculated",IF(K39="Finite end point",SUM(P39:Q39),IF(COUNTIF(#REF!,"&gt;=0")&lt;1,INDEX(#REF!,1,COUNT(#REF!)),INDEX(#REF!,1,MATCH(TRUE,INDEX(#REF!&gt;=0,1,0),)))))</f>
        <v>#N/A</v>
      </c>
      <c r="S39" s="16"/>
      <c r="T39" s="4" t="e">
        <f>IF(R39="Not calculated","Not calculated",SUM(R39:R43)/ROUND(COUNTIF(R39:R43,"&gt;0")+COUNTIF(R39:R43,"&lt;0"),0))</f>
        <v>#N/A</v>
      </c>
      <c r="U39" s="113"/>
      <c r="AF39" s="32"/>
      <c r="AG39" s="27"/>
      <c r="BF39" s="32"/>
    </row>
    <row r="40" spans="2:58" ht="44.1" customHeight="1" thickBot="1">
      <c r="B40" s="17"/>
      <c r="C40" s="17"/>
      <c r="D40" s="11" t="str">
        <f>CONCATENATE($B39,"b")</f>
        <v>0.4b</v>
      </c>
      <c r="E40" s="21">
        <f>VLOOKUP(D40,'Impact Model'!$D$15:$L$340,2,FALSE)</f>
        <v>0</v>
      </c>
      <c r="F40" s="21" t="e">
        <f t="array" ref="F40">INDEX('Impact Model'!$D$15:$F$340,MATCH(D40&amp;E40,'Impact Model'!$D$15:$D$340&amp;'Impact Model'!$E$15:$E$340,0),3)</f>
        <v>#N/A</v>
      </c>
      <c r="G40" s="21" t="e">
        <f t="array" ref="G40">INDEX('Impact Model'!$D$15:$H$340,MATCH(D40&amp;E40,'Impact Model'!$D$15:$D$340&amp;'Impact Model'!$E$15:$E$340,0),5)</f>
        <v>#N/A</v>
      </c>
      <c r="H40" s="93"/>
      <c r="I40" s="94"/>
      <c r="J40" s="142" t="s">
        <v>67</v>
      </c>
      <c r="K40" s="142" t="s">
        <v>77</v>
      </c>
      <c r="L40" s="143" t="b">
        <f>IF(K40="Finite end point","Continue to Column M",IF(K40="Five yearly time-step","Switch to Offset Model_5 yearly"))</f>
        <v>0</v>
      </c>
      <c r="M40" s="70"/>
      <c r="N40" s="70"/>
      <c r="O40" s="70"/>
      <c r="P40" s="4" t="str">
        <f t="shared" ref="P40:P43" si="2">IF(K40="Finite end point",IFERROR(IF(ISBLANK(O40),"",((IF($J40="Low confidence &gt;50% &lt;75%",(IF(N40&lt;$G40,N40/$G40,1)-IF(M40&lt;$G40,M40/$G40,1))*0.62,IF($J40="Confident 75-90%",(IF(N40&lt;$G40,N40/$G40,1)-IF(M40&lt;$G40,M40/$G40,1))*0.825,IF($J40="Very confident &gt;90%",(IF(N40&lt;$G40,N40/$G40,1)-IF(M40&lt;$G40,M40/$G40,1))*0.955)))))/(1+$E$11)^O40)*(I40),"Not calculated"),"Not calculated")</f>
        <v>Not calculated</v>
      </c>
      <c r="Q40" s="4" t="e">
        <f t="array" ref="Q40">INDEX('Impact Model'!$D$15:$L$340,MATCH(D40&amp;E40,'Impact Model'!$D$15:$D$340&amp;'Impact Model'!$E$15:$E$340,0),8)</f>
        <v>#N/A</v>
      </c>
      <c r="R40" s="4" t="str">
        <f>IF(K40="Choose option", "Not calculated",IF(K40="Finite end point",SUM(P40:Q40),IF(COUNTIF(#REF!,"&gt;=0")&lt;1,INDEX(#REF!,1,COUNT(#REF!)),INDEX(#REF!,1,MATCH(TRUE,INDEX(#REF!&gt;=0,1,0),)))))</f>
        <v>Not calculated</v>
      </c>
      <c r="S40" s="18"/>
      <c r="T40" s="3"/>
      <c r="AF40" s="13"/>
      <c r="AG40"/>
      <c r="BF40" s="13"/>
    </row>
    <row r="41" spans="2:58" ht="44.1" customHeight="1" thickBot="1">
      <c r="B41" s="19"/>
      <c r="C41" s="19"/>
      <c r="D41" s="11" t="str">
        <f>CONCATENATE($B39,"c")</f>
        <v>0.4c</v>
      </c>
      <c r="E41" s="21">
        <f>VLOOKUP(D41,'Impact Model'!$D$15:$L$340,2,FALSE)</f>
        <v>0</v>
      </c>
      <c r="F41" s="21" t="e">
        <f t="array" ref="F41">INDEX('Impact Model'!$D$15:$F$340,MATCH(D41&amp;E41,'Impact Model'!$D$15:$D$340&amp;'Impact Model'!$E$15:$E$340,0),3)</f>
        <v>#N/A</v>
      </c>
      <c r="G41" s="21" t="e">
        <f t="array" ref="G41">INDEX('Impact Model'!$D$15:$H$340,MATCH(D41&amp;E41,'Impact Model'!$D$15:$D$340&amp;'Impact Model'!$E$15:$E$340,0),5)</f>
        <v>#N/A</v>
      </c>
      <c r="H41" s="93"/>
      <c r="I41" s="94"/>
      <c r="J41" s="142" t="s">
        <v>67</v>
      </c>
      <c r="K41" s="142" t="s">
        <v>77</v>
      </c>
      <c r="L41" s="143" t="b">
        <f>IF(K41="Finite end point","Continue to Column M",IF(K41="Five yearly time-step","Switch to Offset Model_5 yearly"))</f>
        <v>0</v>
      </c>
      <c r="M41" s="70"/>
      <c r="N41" s="70"/>
      <c r="O41" s="70"/>
      <c r="P41" s="4" t="str">
        <f t="shared" si="2"/>
        <v>Not calculated</v>
      </c>
      <c r="Q41" s="4" t="e">
        <f t="array" ref="Q41">INDEX('Impact Model'!$D$15:$L$340,MATCH(D41&amp;E41,'Impact Model'!$D$15:$D$340&amp;'Impact Model'!$E$15:$E$340,0),8)</f>
        <v>#N/A</v>
      </c>
      <c r="R41" s="4" t="str">
        <f>IF(K41="Choose option", "Not calculated",IF(K41="Finite end point",SUM(P41:Q41),IF(COUNTIF(#REF!,"&gt;=0")&lt;1,INDEX(#REF!,1,COUNT(#REF!)),INDEX(#REF!,1,MATCH(TRUE,INDEX(#REF!&gt;=0,1,0),)))))</f>
        <v>Not calculated</v>
      </c>
      <c r="S41" s="18"/>
      <c r="T41" s="121"/>
      <c r="AF41" s="13"/>
      <c r="AG41"/>
      <c r="BF41" s="13"/>
    </row>
    <row r="42" spans="2:58" ht="44.1" customHeight="1" thickBot="1">
      <c r="B42" s="19"/>
      <c r="C42" s="19"/>
      <c r="D42" s="11" t="str">
        <f>CONCATENATE($B39,"d")</f>
        <v>0.4d</v>
      </c>
      <c r="E42" s="21">
        <f>VLOOKUP(D42,'Impact Model'!$D$15:$L$340,2,FALSE)</f>
        <v>0</v>
      </c>
      <c r="F42" s="21" t="e">
        <f t="array" ref="F42">INDEX('Impact Model'!$D$15:$F$340,MATCH(D42&amp;E42,'Impact Model'!$D$15:$D$340&amp;'Impact Model'!$E$15:$E$340,0),3)</f>
        <v>#N/A</v>
      </c>
      <c r="G42" s="21" t="e">
        <f t="array" ref="G42">INDEX('Impact Model'!$D$15:$H$340,MATCH(D42&amp;E42,'Impact Model'!$D$15:$D$340&amp;'Impact Model'!$E$15:$E$340,0),5)</f>
        <v>#N/A</v>
      </c>
      <c r="H42" s="93"/>
      <c r="I42" s="94"/>
      <c r="J42" s="142" t="s">
        <v>67</v>
      </c>
      <c r="K42" s="142" t="s">
        <v>77</v>
      </c>
      <c r="L42" s="143" t="b">
        <f>IF(K42="Finite end point","Continue to Column M",IF(K42="Five yearly time-step","Switch to Offset Model_5 yearly"))</f>
        <v>0</v>
      </c>
      <c r="M42" s="70"/>
      <c r="N42" s="70"/>
      <c r="O42" s="70"/>
      <c r="P42" s="4" t="str">
        <f t="shared" si="2"/>
        <v>Not calculated</v>
      </c>
      <c r="Q42" s="4" t="e">
        <f t="array" ref="Q42">INDEX('Impact Model'!$D$15:$L$340,MATCH(D42&amp;E42,'Impact Model'!$D$15:$D$340&amp;'Impact Model'!$E$15:$E$340,0),8)</f>
        <v>#N/A</v>
      </c>
      <c r="R42" s="4" t="str">
        <f>IF(K42="Choose option", "Not calculated",IF(K42="Finite end point",SUM(P42:Q42),IF(COUNTIF(#REF!,"&gt;=0")&lt;1,INDEX(#REF!,1,COUNT(#REF!)),INDEX(#REF!,1,MATCH(TRUE,INDEX(#REF!&gt;=0,1,0),)))))</f>
        <v>Not calculated</v>
      </c>
      <c r="S42" s="18"/>
      <c r="T42" s="3"/>
      <c r="AF42" s="13"/>
      <c r="AG42"/>
      <c r="BF42" s="13"/>
    </row>
    <row r="43" spans="2:58" ht="44.1" customHeight="1" thickBot="1">
      <c r="B43" s="19"/>
      <c r="C43" s="19"/>
      <c r="D43" s="11" t="str">
        <f>CONCATENATE($B39,"e")</f>
        <v>0.4e</v>
      </c>
      <c r="E43" s="21">
        <f>VLOOKUP(D43,'Impact Model'!$D$15:$L$340,2,FALSE)</f>
        <v>0</v>
      </c>
      <c r="F43" s="21" t="e">
        <f t="array" ref="F43">INDEX('Impact Model'!$D$15:$F$340,MATCH(D43&amp;E43,'Impact Model'!$D$15:$D$340&amp;'Impact Model'!$E$15:$E$340,0),3)</f>
        <v>#N/A</v>
      </c>
      <c r="G43" s="21" t="e">
        <f t="array" ref="G43">INDEX('Impact Model'!$D$15:$H$340,MATCH(D43&amp;E43,'Impact Model'!$D$15:$D$340&amp;'Impact Model'!$E$15:$E$340,0),5)</f>
        <v>#N/A</v>
      </c>
      <c r="H43" s="93"/>
      <c r="I43" s="94"/>
      <c r="J43" s="142" t="s">
        <v>67</v>
      </c>
      <c r="K43" s="142" t="s">
        <v>77</v>
      </c>
      <c r="L43" s="143" t="b">
        <f>IF(K43="Finite end point","Continue to Column M",IF(K43="Five yearly time-step","Switch to Offset Model_5 yearly"))</f>
        <v>0</v>
      </c>
      <c r="M43" s="70"/>
      <c r="N43" s="70"/>
      <c r="O43" s="70"/>
      <c r="P43" s="4" t="str">
        <f t="shared" si="2"/>
        <v>Not calculated</v>
      </c>
      <c r="Q43" s="4" t="e">
        <f t="array" ref="Q43">INDEX('Impact Model'!$D$15:$L$340,MATCH(D43&amp;E43,'Impact Model'!$D$15:$D$340&amp;'Impact Model'!$E$15:$E$340,0),8)</f>
        <v>#N/A</v>
      </c>
      <c r="R43" s="4" t="str">
        <f>IF(K43="Choose option", "Not calculated",IF(K43="Finite end point",SUM(P43:Q43),IF(COUNTIF(#REF!,"&gt;=0")&lt;1,INDEX(#REF!,1,COUNT(#REF!)),INDEX(#REF!,1,MATCH(TRUE,INDEX(#REF!&gt;=0,1,0),)))))</f>
        <v>Not calculated</v>
      </c>
      <c r="S43" s="18"/>
      <c r="T43" s="3"/>
      <c r="AF43" s="13"/>
      <c r="AG43"/>
      <c r="BF43" s="13"/>
    </row>
    <row r="44" spans="2:58" ht="15.95" customHeight="1" thickBot="1"/>
    <row r="45" spans="2:58" s="60" customFormat="1" ht="108" customHeight="1">
      <c r="B45" s="12"/>
      <c r="C45" s="184" t="s">
        <v>47</v>
      </c>
      <c r="D45" s="185"/>
      <c r="E45" s="185"/>
      <c r="F45" s="185"/>
      <c r="G45" s="186"/>
      <c r="H45" s="184" t="s">
        <v>62</v>
      </c>
      <c r="I45" s="185"/>
      <c r="J45" s="186"/>
      <c r="K45" s="187" t="s">
        <v>44</v>
      </c>
      <c r="L45" s="188"/>
      <c r="M45" s="184" t="s">
        <v>78</v>
      </c>
      <c r="N45" s="185"/>
      <c r="O45" s="185"/>
      <c r="P45" s="185"/>
      <c r="Q45" s="185"/>
      <c r="R45" s="186"/>
      <c r="T45" s="154" t="s">
        <v>50</v>
      </c>
      <c r="AG45" s="27"/>
      <c r="BF45" s="68"/>
    </row>
    <row r="46" spans="2:58" s="60" customFormat="1" ht="62.1" customHeight="1" thickBot="1">
      <c r="C46" s="147" t="s">
        <v>4</v>
      </c>
      <c r="D46" s="191" t="s">
        <v>5</v>
      </c>
      <c r="E46" s="192"/>
      <c r="F46" s="34" t="s">
        <v>27</v>
      </c>
      <c r="G46" s="69" t="s">
        <v>33</v>
      </c>
      <c r="H46" s="33" t="s">
        <v>59</v>
      </c>
      <c r="I46" s="34" t="s">
        <v>20</v>
      </c>
      <c r="J46" s="22" t="s">
        <v>25</v>
      </c>
      <c r="K46" s="189"/>
      <c r="L46" s="190"/>
      <c r="M46" s="148" t="s">
        <v>84</v>
      </c>
      <c r="N46" s="148" t="s">
        <v>85</v>
      </c>
      <c r="O46" s="33" t="s">
        <v>45</v>
      </c>
      <c r="P46" s="34" t="s">
        <v>129</v>
      </c>
      <c r="Q46" s="35" t="s">
        <v>131</v>
      </c>
      <c r="R46" s="69" t="s">
        <v>51</v>
      </c>
      <c r="S46" s="15"/>
      <c r="T46" s="97" t="s">
        <v>52</v>
      </c>
      <c r="AF46" s="15"/>
      <c r="AG46" s="27"/>
      <c r="BF46" s="15"/>
    </row>
    <row r="47" spans="2:58" s="60" customFormat="1" ht="44.1" customHeight="1" thickBot="1">
      <c r="B47" s="11" t="str">
        <f>CONCATENATE($B$11+0.5)</f>
        <v>0.5</v>
      </c>
      <c r="C47" s="21">
        <f>VLOOKUP(B47,'Impact Model'!$B$15:$L$340,2,FALSE)</f>
        <v>0</v>
      </c>
      <c r="D47" s="11" t="str">
        <f>CONCATENATE($B47,"a")</f>
        <v>0.5a</v>
      </c>
      <c r="E47" s="21">
        <f>VLOOKUP(D47,'Impact Model'!$D$15:$L$340,2,FALSE)</f>
        <v>0</v>
      </c>
      <c r="F47" s="21" t="e">
        <f t="array" ref="F47">INDEX('Impact Model'!$D$15:$F$340,MATCH(D47&amp;E47,'Impact Model'!$D$15:$D$340&amp;'Impact Model'!$E$15:$E$340,0),3)</f>
        <v>#N/A</v>
      </c>
      <c r="G47" s="21" t="e">
        <f t="array" ref="G47">INDEX('Impact Model'!$D$15:$H$340,MATCH(D47&amp;E47,'Impact Model'!$D$15:$D$340&amp;'Impact Model'!$E$15:$E$340,0),5)</f>
        <v>#N/A</v>
      </c>
      <c r="H47" s="93"/>
      <c r="I47" s="94"/>
      <c r="J47" s="142" t="s">
        <v>67</v>
      </c>
      <c r="K47" s="142" t="s">
        <v>77</v>
      </c>
      <c r="L47" s="143" t="b">
        <f>IF(K47="Finite end point","Continue to Column M",IF(K47="Five yearly time-step","Switch to Offset Model_5 yearly"))</f>
        <v>0</v>
      </c>
      <c r="M47" s="70"/>
      <c r="N47" s="70"/>
      <c r="O47" s="70"/>
      <c r="P47" s="4" t="str">
        <f>IF(K47="Finite end point",IFERROR(IF(ISBLANK(O47),"",((IF($J47="Low confidence &gt;50% &lt;75%",(IF(N47&lt;$G47,N47/$G47,1)-IF(M47&lt;$G47,M47/$G47,1))*0.62,IF($J47="Confident 75-90%",(IF(N47&lt;$G47,N47/$G47,1)-IF(M47&lt;$G47,M47/$G47,1))*0.825,IF($J47="Very confident &gt;90%",(IF(N47&lt;$G47,N47/$G47,1)-IF(M47&lt;$G47,M47/$G47,1))*0.955)))))/(1+$E$11)^O47)*(I47),"Not calculated"),"Not calculated")</f>
        <v>Not calculated</v>
      </c>
      <c r="Q47" s="4" t="e">
        <f t="array" ref="Q47">INDEX('Impact Model'!$D$15:$L$340,MATCH(D47&amp;E47,'Impact Model'!$D$15:$D$340&amp;'Impact Model'!$E$15:$E$340,0),8)</f>
        <v>#N/A</v>
      </c>
      <c r="R47" s="4" t="str">
        <f>IF(K47="Choose option", "Not calculated",IF(K47="Finite end point",SUM(P47:Q47),IF(COUNTIF(#REF!,"&gt;=0")&lt;1,INDEX(#REF!,1,COUNT(#REF!)),INDEX(#REF!,1,MATCH(TRUE,INDEX(#REF!&gt;=0,1,0),)))))</f>
        <v>Not calculated</v>
      </c>
      <c r="S47" s="16"/>
      <c r="T47" s="4" t="str">
        <f>IF(R47="Not calculated","Not calculated",SUM(R47:R51)/ROUND(COUNTIF(R47:R51,"&gt;0")+COUNTIF(R47:R51,"&lt;0"),0))</f>
        <v>Not calculated</v>
      </c>
      <c r="U47" s="113"/>
      <c r="AF47" s="32"/>
      <c r="AG47" s="27"/>
      <c r="BF47" s="32"/>
    </row>
    <row r="48" spans="2:58" ht="44.1" customHeight="1" thickBot="1">
      <c r="B48" s="17"/>
      <c r="C48" s="17"/>
      <c r="D48" s="11" t="str">
        <f>CONCATENATE($B47,"b")</f>
        <v>0.5b</v>
      </c>
      <c r="E48" s="21">
        <f>VLOOKUP(D48,'Impact Model'!$D$15:$L$340,2,FALSE)</f>
        <v>0</v>
      </c>
      <c r="F48" s="21" t="e">
        <f t="array" ref="F48">INDEX('Impact Model'!$D$15:$F$340,MATCH(D48&amp;E48,'Impact Model'!$D$15:$D$340&amp;'Impact Model'!$E$15:$E$340,0),3)</f>
        <v>#N/A</v>
      </c>
      <c r="G48" s="21" t="e">
        <f t="array" ref="G48">INDEX('Impact Model'!$D$15:$H$340,MATCH(D48&amp;E48,'Impact Model'!$D$15:$D$340&amp;'Impact Model'!$E$15:$E$340,0),5)</f>
        <v>#N/A</v>
      </c>
      <c r="H48" s="93"/>
      <c r="I48" s="94"/>
      <c r="J48" s="142" t="s">
        <v>67</v>
      </c>
      <c r="K48" s="142" t="s">
        <v>77</v>
      </c>
      <c r="L48" s="143" t="b">
        <f>IF(K48="Finite end point","Continue to Column M",IF(K48="Five yearly time-step","Switch to Offset Model_5 yearly"))</f>
        <v>0</v>
      </c>
      <c r="M48" s="70"/>
      <c r="N48" s="70"/>
      <c r="O48" s="70"/>
      <c r="P48" s="4" t="str">
        <f t="shared" ref="P48:P51" si="3">IF(K48="Finite end point",IFERROR(IF(ISBLANK(O48),"",((IF($J48="Low confidence &gt;50% &lt;75%",(IF(N48&lt;$G48,N48/$G48,1)-IF(M48&lt;$G48,M48/$G48,1))*0.62,IF($J48="Confident 75-90%",(IF(N48&lt;$G48,N48/$G48,1)-IF(M48&lt;$G48,M48/$G48,1))*0.825,IF($J48="Very confident &gt;90%",(IF(N48&lt;$G48,N48/$G48,1)-IF(M48&lt;$G48,M48/$G48,1))*0.955)))))/(1+$E$11)^O48)*(I48),"Not calculated"),"Not calculated")</f>
        <v>Not calculated</v>
      </c>
      <c r="Q48" s="4" t="e">
        <f t="array" ref="Q48">INDEX('Impact Model'!$D$15:$L$340,MATCH(D48&amp;E48,'Impact Model'!$D$15:$D$340&amp;'Impact Model'!$E$15:$E$340,0),8)</f>
        <v>#N/A</v>
      </c>
      <c r="R48" s="4" t="str">
        <f>IF(K48="Choose option", "Not calculated",IF(K48="Finite end point",SUM(P48:Q48),IF(COUNTIF(#REF!,"&gt;=0")&lt;1,INDEX(#REF!,1,COUNT(#REF!)),INDEX(#REF!,1,MATCH(TRUE,INDEX(#REF!&gt;=0,1,0),)))))</f>
        <v>Not calculated</v>
      </c>
      <c r="S48" s="18"/>
      <c r="T48" s="3"/>
      <c r="AF48" s="13"/>
      <c r="AG48"/>
      <c r="BF48" s="13"/>
    </row>
    <row r="49" spans="2:58" ht="44.1" customHeight="1" thickBot="1">
      <c r="B49" s="19"/>
      <c r="C49" s="19"/>
      <c r="D49" s="11" t="str">
        <f>CONCATENATE($B47,"c")</f>
        <v>0.5c</v>
      </c>
      <c r="E49" s="21">
        <f>VLOOKUP(D49,'Impact Model'!$D$15:$L$340,2,FALSE)</f>
        <v>0</v>
      </c>
      <c r="F49" s="21" t="e">
        <f t="array" ref="F49">INDEX('Impact Model'!$D$15:$F$340,MATCH(D49&amp;E49,'Impact Model'!$D$15:$D$340&amp;'Impact Model'!$E$15:$E$340,0),3)</f>
        <v>#N/A</v>
      </c>
      <c r="G49" s="21" t="e">
        <f t="array" ref="G49">INDEX('Impact Model'!$D$15:$H$340,MATCH(D49&amp;E49,'Impact Model'!$D$15:$D$340&amp;'Impact Model'!$E$15:$E$340,0),5)</f>
        <v>#N/A</v>
      </c>
      <c r="H49" s="93"/>
      <c r="I49" s="94"/>
      <c r="J49" s="142" t="s">
        <v>67</v>
      </c>
      <c r="K49" s="142" t="s">
        <v>77</v>
      </c>
      <c r="L49" s="143" t="b">
        <f>IF(K49="Finite end point","Continue to Column M",IF(K49="Five yearly time-step","Switch to Offset Model_5 yearly"))</f>
        <v>0</v>
      </c>
      <c r="M49" s="70"/>
      <c r="N49" s="70"/>
      <c r="O49" s="70"/>
      <c r="P49" s="4" t="str">
        <f t="shared" si="3"/>
        <v>Not calculated</v>
      </c>
      <c r="Q49" s="4" t="e">
        <f t="array" ref="Q49">INDEX('Impact Model'!$D$15:$L$340,MATCH(D49&amp;E49,'Impact Model'!$D$15:$D$340&amp;'Impact Model'!$E$15:$E$340,0),8)</f>
        <v>#N/A</v>
      </c>
      <c r="R49" s="4" t="str">
        <f>IF(K49="Choose option", "Not calculated",IF(K49="Finite end point",SUM(P49:Q49),IF(COUNTIF(#REF!,"&gt;=0")&lt;1,INDEX(#REF!,1,COUNT(#REF!)),INDEX(#REF!,1,MATCH(TRUE,INDEX(#REF!&gt;=0,1,0),)))))</f>
        <v>Not calculated</v>
      </c>
      <c r="S49" s="18"/>
      <c r="T49" s="121"/>
      <c r="AF49" s="13"/>
      <c r="AG49"/>
      <c r="BF49" s="13"/>
    </row>
    <row r="50" spans="2:58" ht="44.1" customHeight="1" thickBot="1">
      <c r="B50" s="19"/>
      <c r="C50" s="19"/>
      <c r="D50" s="11" t="str">
        <f>CONCATENATE($B47,"d")</f>
        <v>0.5d</v>
      </c>
      <c r="E50" s="21">
        <f>VLOOKUP(D50,'Impact Model'!$D$15:$L$340,2,FALSE)</f>
        <v>0</v>
      </c>
      <c r="F50" s="21" t="e">
        <f t="array" ref="F50">INDEX('Impact Model'!$D$15:$F$340,MATCH(D50&amp;E50,'Impact Model'!$D$15:$D$340&amp;'Impact Model'!$E$15:$E$340,0),3)</f>
        <v>#N/A</v>
      </c>
      <c r="G50" s="21" t="e">
        <f t="array" ref="G50">INDEX('Impact Model'!$D$15:$H$340,MATCH(D50&amp;E50,'Impact Model'!$D$15:$D$340&amp;'Impact Model'!$E$15:$E$340,0),5)</f>
        <v>#N/A</v>
      </c>
      <c r="H50" s="93"/>
      <c r="I50" s="94"/>
      <c r="J50" s="142" t="s">
        <v>67</v>
      </c>
      <c r="K50" s="142" t="s">
        <v>77</v>
      </c>
      <c r="L50" s="143" t="b">
        <f>IF(K50="Finite end point","Continue to Column M",IF(K50="Five yearly time-step","Switch to Offset Model_5 yearly"))</f>
        <v>0</v>
      </c>
      <c r="M50" s="70"/>
      <c r="N50" s="70"/>
      <c r="O50" s="70"/>
      <c r="P50" s="4" t="str">
        <f t="shared" si="3"/>
        <v>Not calculated</v>
      </c>
      <c r="Q50" s="4" t="e">
        <f t="array" ref="Q50">INDEX('Impact Model'!$D$15:$L$340,MATCH(D50&amp;E50,'Impact Model'!$D$15:$D$340&amp;'Impact Model'!$E$15:$E$340,0),8)</f>
        <v>#N/A</v>
      </c>
      <c r="R50" s="4" t="str">
        <f>IF(K50="Choose option", "Not calculated",IF(K50="Finite end point",SUM(P50:Q50),IF(COUNTIF(#REF!,"&gt;=0")&lt;1,INDEX(#REF!,1,COUNT(#REF!)),INDEX(#REF!,1,MATCH(TRUE,INDEX(#REF!&gt;=0,1,0),)))))</f>
        <v>Not calculated</v>
      </c>
      <c r="S50" s="18"/>
      <c r="T50" s="3"/>
      <c r="AF50" s="13"/>
      <c r="AG50"/>
      <c r="BF50" s="13"/>
    </row>
    <row r="51" spans="2:58" ht="44.1" customHeight="1" thickBot="1">
      <c r="B51" s="19"/>
      <c r="C51" s="19"/>
      <c r="D51" s="11" t="str">
        <f>CONCATENATE($B47,"e")</f>
        <v>0.5e</v>
      </c>
      <c r="E51" s="21">
        <f>VLOOKUP(D51,'Impact Model'!$D$15:$L$340,2,FALSE)</f>
        <v>0</v>
      </c>
      <c r="F51" s="21" t="e">
        <f t="array" ref="F51">INDEX('Impact Model'!$D$15:$F$340,MATCH(D51&amp;E51,'Impact Model'!$D$15:$D$340&amp;'Impact Model'!$E$15:$E$340,0),3)</f>
        <v>#N/A</v>
      </c>
      <c r="G51" s="21" t="e">
        <f t="array" ref="G51">INDEX('Impact Model'!$D$15:$H$340,MATCH(D51&amp;E51,'Impact Model'!$D$15:$D$340&amp;'Impact Model'!$E$15:$E$340,0),5)</f>
        <v>#N/A</v>
      </c>
      <c r="H51" s="93"/>
      <c r="I51" s="94"/>
      <c r="J51" s="142" t="s">
        <v>67</v>
      </c>
      <c r="K51" s="142" t="s">
        <v>77</v>
      </c>
      <c r="L51" s="143" t="b">
        <f>IF(K51="Finite end point","Continue to Column M",IF(K51="Five yearly time-step","Switch to Offset Model_5 yearly"))</f>
        <v>0</v>
      </c>
      <c r="M51" s="70"/>
      <c r="N51" s="70"/>
      <c r="O51" s="70"/>
      <c r="P51" s="4" t="str">
        <f t="shared" si="3"/>
        <v>Not calculated</v>
      </c>
      <c r="Q51" s="4" t="e">
        <f t="array" ref="Q51">INDEX('Impact Model'!$D$15:$L$340,MATCH(D51&amp;E51,'Impact Model'!$D$15:$D$340&amp;'Impact Model'!$E$15:$E$340,0),8)</f>
        <v>#N/A</v>
      </c>
      <c r="R51" s="4" t="str">
        <f>IF(K51="Choose option", "Not calculated",IF(K51="Finite end point",SUM(P51:Q51),IF(COUNTIF(#REF!,"&gt;=0")&lt;1,INDEX(#REF!,1,COUNT(#REF!)),INDEX(#REF!,1,MATCH(TRUE,INDEX(#REF!&gt;=0,1,0),)))))</f>
        <v>Not calculated</v>
      </c>
      <c r="S51" s="18"/>
      <c r="T51" s="3"/>
      <c r="AF51" s="13"/>
      <c r="AG51"/>
      <c r="BF51" s="13"/>
    </row>
    <row r="52" spans="2:58" ht="15.95" customHeight="1" thickBot="1"/>
    <row r="53" spans="2:58" s="60" customFormat="1" ht="108" customHeight="1">
      <c r="B53" s="12"/>
      <c r="C53" s="184" t="s">
        <v>47</v>
      </c>
      <c r="D53" s="185"/>
      <c r="E53" s="185"/>
      <c r="F53" s="185"/>
      <c r="G53" s="186"/>
      <c r="H53" s="184" t="s">
        <v>62</v>
      </c>
      <c r="I53" s="185"/>
      <c r="J53" s="186"/>
      <c r="K53" s="187" t="s">
        <v>44</v>
      </c>
      <c r="L53" s="188"/>
      <c r="M53" s="184" t="s">
        <v>78</v>
      </c>
      <c r="N53" s="185"/>
      <c r="O53" s="185"/>
      <c r="P53" s="185"/>
      <c r="Q53" s="185"/>
      <c r="R53" s="186"/>
      <c r="T53" s="154" t="s">
        <v>50</v>
      </c>
      <c r="AG53" s="27"/>
      <c r="BF53" s="68"/>
    </row>
    <row r="54" spans="2:58" s="60" customFormat="1" ht="62.1" customHeight="1" thickBot="1">
      <c r="C54" s="147" t="s">
        <v>4</v>
      </c>
      <c r="D54" s="191" t="s">
        <v>5</v>
      </c>
      <c r="E54" s="192"/>
      <c r="F54" s="34" t="s">
        <v>27</v>
      </c>
      <c r="G54" s="69" t="s">
        <v>33</v>
      </c>
      <c r="H54" s="33" t="s">
        <v>59</v>
      </c>
      <c r="I54" s="34" t="s">
        <v>20</v>
      </c>
      <c r="J54" s="22" t="s">
        <v>25</v>
      </c>
      <c r="K54" s="189"/>
      <c r="L54" s="190"/>
      <c r="M54" s="148" t="s">
        <v>84</v>
      </c>
      <c r="N54" s="148" t="s">
        <v>85</v>
      </c>
      <c r="O54" s="33" t="s">
        <v>45</v>
      </c>
      <c r="P54" s="34" t="s">
        <v>129</v>
      </c>
      <c r="Q54" s="35" t="s">
        <v>131</v>
      </c>
      <c r="R54" s="69" t="s">
        <v>51</v>
      </c>
      <c r="S54" s="15"/>
      <c r="T54" s="97" t="s">
        <v>52</v>
      </c>
      <c r="AF54" s="15"/>
      <c r="AG54" s="27"/>
      <c r="BF54" s="15"/>
    </row>
    <row r="55" spans="2:58" s="60" customFormat="1" ht="44.1" customHeight="1" thickBot="1">
      <c r="B55" s="11" t="str">
        <f>CONCATENATE($B$11+0.6)</f>
        <v>0.6</v>
      </c>
      <c r="C55" s="21">
        <f>VLOOKUP(B55,'Impact Model'!$B$15:$L$340,2,FALSE)</f>
        <v>0</v>
      </c>
      <c r="D55" s="11" t="str">
        <f>CONCATENATE($B55,"a")</f>
        <v>0.6a</v>
      </c>
      <c r="E55" s="21">
        <f>VLOOKUP(D55,'Impact Model'!$D$15:$L$340,2,FALSE)</f>
        <v>0</v>
      </c>
      <c r="F55" s="21" t="e">
        <f t="array" ref="F55">INDEX('Impact Model'!$D$15:$F$340,MATCH(D55&amp;E55,'Impact Model'!$D$15:$D$340&amp;'Impact Model'!$E$15:$E$340,0),3)</f>
        <v>#N/A</v>
      </c>
      <c r="G55" s="21" t="e">
        <f t="array" ref="G55">INDEX('Impact Model'!$D$15:$H$340,MATCH(D55&amp;E55,'Impact Model'!$D$15:$D$340&amp;'Impact Model'!$E$15:$E$340,0),5)</f>
        <v>#N/A</v>
      </c>
      <c r="H55" s="93"/>
      <c r="I55" s="94"/>
      <c r="J55" s="142" t="s">
        <v>67</v>
      </c>
      <c r="K55" s="142" t="s">
        <v>77</v>
      </c>
      <c r="L55" s="143" t="b">
        <f>IF(K55="Finite end point","Continue to Column M",IF(K55="Five yearly time-step","Switch to Offset Model_5 yearly"))</f>
        <v>0</v>
      </c>
      <c r="M55" s="70"/>
      <c r="N55" s="70"/>
      <c r="O55" s="70"/>
      <c r="P55" s="4" t="str">
        <f>IF(K55="Finite end point",IFERROR(IF(ISBLANK(O55),"",((IF($J55="Low confidence &gt;50% &lt;75%",(IF(N55&lt;$G55,N55/$G55,1)-IF(M55&lt;$G55,M55/$G55,1))*0.62,IF($J55="Confident 75-90%",(IF(N55&lt;$G55,N55/$G55,1)-IF(M55&lt;$G55,M55/$G55,1))*0.825,IF($J55="Very confident &gt;90%",(IF(N55&lt;$G55,N55/$G55,1)-IF(M55&lt;$G55,M55/$G55,1))*0.955)))))/(1+$E$11)^O55)*(I55),"Not calculated"),"Not calculated")</f>
        <v>Not calculated</v>
      </c>
      <c r="Q55" s="4" t="e">
        <f t="array" ref="Q55">INDEX('Impact Model'!$D$15:$L$340,MATCH(D55&amp;E55,'Impact Model'!$D$15:$D$340&amp;'Impact Model'!$E$15:$E$340,0),8)</f>
        <v>#N/A</v>
      </c>
      <c r="R55" s="4" t="str">
        <f>IF(K55="Choose option", "Not calculated",IF(K55="Finite end point",SUM(P55:Q55),IF(COUNTIF(#REF!,"&gt;=0")&lt;1,INDEX(#REF!,1,COUNT(#REF!)),INDEX(#REF!,1,MATCH(TRUE,INDEX(#REF!&gt;=0,1,0),)))))</f>
        <v>Not calculated</v>
      </c>
      <c r="S55" s="16"/>
      <c r="T55" s="4" t="str">
        <f>IF(R55="Not calculated","Not calculated",SUM(R55:R59)/ROUND(COUNTIF(R55:R59,"&gt;0")+COUNTIF(R55:R59,"&lt;0"),0))</f>
        <v>Not calculated</v>
      </c>
      <c r="U55" s="113"/>
      <c r="AF55" s="32"/>
      <c r="AG55" s="27"/>
      <c r="BF55" s="32"/>
    </row>
    <row r="56" spans="2:58" ht="44.1" customHeight="1" thickBot="1">
      <c r="B56" s="17"/>
      <c r="C56" s="17"/>
      <c r="D56" s="11" t="str">
        <f>CONCATENATE($B55,"b")</f>
        <v>0.6b</v>
      </c>
      <c r="E56" s="21">
        <f>VLOOKUP(D56,'Impact Model'!$D$15:$L$340,2,FALSE)</f>
        <v>0</v>
      </c>
      <c r="F56" s="21" t="e">
        <f t="array" ref="F56">INDEX('Impact Model'!$D$15:$F$340,MATCH(D56&amp;E56,'Impact Model'!$D$15:$D$340&amp;'Impact Model'!$E$15:$E$340,0),3)</f>
        <v>#N/A</v>
      </c>
      <c r="G56" s="21" t="e">
        <f t="array" ref="G56">INDEX('Impact Model'!$D$15:$H$340,MATCH(D56&amp;E56,'Impact Model'!$D$15:$D$340&amp;'Impact Model'!$E$15:$E$340,0),5)</f>
        <v>#N/A</v>
      </c>
      <c r="H56" s="93"/>
      <c r="I56" s="94"/>
      <c r="J56" s="142" t="s">
        <v>67</v>
      </c>
      <c r="K56" s="142" t="s">
        <v>77</v>
      </c>
      <c r="L56" s="143" t="b">
        <f>IF(K56="Finite end point","Continue to Column M",IF(K56="Five yearly time-step","Switch to Offset Model_5 yearly"))</f>
        <v>0</v>
      </c>
      <c r="M56" s="70"/>
      <c r="N56" s="70"/>
      <c r="O56" s="70"/>
      <c r="P56" s="4" t="str">
        <f t="shared" ref="P56:P59" si="4">IF(K56="Finite end point",IFERROR(IF(ISBLANK(O56),"",((IF($J56="Low confidence &gt;50% &lt;75%",(IF(N56&lt;$G56,N56/$G56,1)-IF(M56&lt;$G56,M56/$G56,1))*0.62,IF($J56="Confident 75-90%",(IF(N56&lt;$G56,N56/$G56,1)-IF(M56&lt;$G56,M56/$G56,1))*0.825,IF($J56="Very confident &gt;90%",(IF(N56&lt;$G56,N56/$G56,1)-IF(M56&lt;$G56,M56/$G56,1))*0.955)))))/(1+$E$11)^O56)*(I56),"Not calculated"),"Not calculated")</f>
        <v>Not calculated</v>
      </c>
      <c r="Q56" s="4" t="e">
        <f t="array" ref="Q56">INDEX('Impact Model'!$D$15:$L$340,MATCH(D56&amp;E56,'Impact Model'!$D$15:$D$340&amp;'Impact Model'!$E$15:$E$340,0),8)</f>
        <v>#N/A</v>
      </c>
      <c r="R56" s="4" t="str">
        <f>IF(K56="Choose option", "Not calculated",IF(K56="Finite end point",SUM(P56:Q56),IF(COUNTIF(#REF!,"&gt;=0")&lt;1,INDEX(#REF!,1,COUNT(#REF!)),INDEX(#REF!,1,MATCH(TRUE,INDEX(#REF!&gt;=0,1,0),)))))</f>
        <v>Not calculated</v>
      </c>
      <c r="S56" s="18"/>
      <c r="T56" s="3"/>
      <c r="AF56" s="13"/>
      <c r="AG56"/>
      <c r="BF56" s="13"/>
    </row>
    <row r="57" spans="2:58" ht="44.1" customHeight="1" thickBot="1">
      <c r="B57" s="19"/>
      <c r="C57" s="19"/>
      <c r="D57" s="11" t="str">
        <f>CONCATENATE($B55,"c")</f>
        <v>0.6c</v>
      </c>
      <c r="E57" s="21">
        <f>VLOOKUP(D57,'Impact Model'!$D$15:$L$340,2,FALSE)</f>
        <v>0</v>
      </c>
      <c r="F57" s="21" t="e">
        <f t="array" ref="F57">INDEX('Impact Model'!$D$15:$F$340,MATCH(D57&amp;E57,'Impact Model'!$D$15:$D$340&amp;'Impact Model'!$E$15:$E$340,0),3)</f>
        <v>#N/A</v>
      </c>
      <c r="G57" s="21" t="e">
        <f t="array" ref="G57">INDEX('Impact Model'!$D$15:$H$340,MATCH(D57&amp;E57,'Impact Model'!$D$15:$D$340&amp;'Impact Model'!$E$15:$E$340,0),5)</f>
        <v>#N/A</v>
      </c>
      <c r="H57" s="93"/>
      <c r="I57" s="94"/>
      <c r="J57" s="142" t="s">
        <v>67</v>
      </c>
      <c r="K57" s="142" t="s">
        <v>77</v>
      </c>
      <c r="L57" s="143" t="b">
        <f>IF(K57="Finite end point","Continue to Column M",IF(K57="Five yearly time-step","Switch to Offset Model_5 yearly"))</f>
        <v>0</v>
      </c>
      <c r="M57" s="70"/>
      <c r="N57" s="70"/>
      <c r="O57" s="70"/>
      <c r="P57" s="4" t="str">
        <f t="shared" si="4"/>
        <v>Not calculated</v>
      </c>
      <c r="Q57" s="4" t="e">
        <f t="array" ref="Q57">INDEX('Impact Model'!$D$15:$L$340,MATCH(D57&amp;E57,'Impact Model'!$D$15:$D$340&amp;'Impact Model'!$E$15:$E$340,0),8)</f>
        <v>#N/A</v>
      </c>
      <c r="R57" s="4" t="str">
        <f>IF(K57="Choose option", "Not calculated",IF(K57="Finite end point",SUM(P57:Q57),IF(COUNTIF(#REF!,"&gt;=0")&lt;1,INDEX(#REF!,1,COUNT(#REF!)),INDEX(#REF!,1,MATCH(TRUE,INDEX(#REF!&gt;=0,1,0),)))))</f>
        <v>Not calculated</v>
      </c>
      <c r="S57" s="18"/>
      <c r="T57" s="121"/>
      <c r="AF57" s="13"/>
      <c r="AG57"/>
      <c r="BF57" s="13"/>
    </row>
    <row r="58" spans="2:58" ht="44.1" customHeight="1" thickBot="1">
      <c r="B58" s="19"/>
      <c r="C58" s="19"/>
      <c r="D58" s="11" t="str">
        <f>CONCATENATE($B55,"d")</f>
        <v>0.6d</v>
      </c>
      <c r="E58" s="21">
        <f>VLOOKUP(D58,'Impact Model'!$D$15:$L$340,2,FALSE)</f>
        <v>0</v>
      </c>
      <c r="F58" s="21" t="e">
        <f t="array" ref="F58">INDEX('Impact Model'!$D$15:$F$340,MATCH(D58&amp;E58,'Impact Model'!$D$15:$D$340&amp;'Impact Model'!$E$15:$E$340,0),3)</f>
        <v>#N/A</v>
      </c>
      <c r="G58" s="21" t="e">
        <f t="array" ref="G58">INDEX('Impact Model'!$D$15:$H$340,MATCH(D58&amp;E58,'Impact Model'!$D$15:$D$340&amp;'Impact Model'!$E$15:$E$340,0),5)</f>
        <v>#N/A</v>
      </c>
      <c r="H58" s="93"/>
      <c r="I58" s="94"/>
      <c r="J58" s="142" t="s">
        <v>67</v>
      </c>
      <c r="K58" s="142" t="s">
        <v>77</v>
      </c>
      <c r="L58" s="143" t="b">
        <f>IF(K58="Finite end point","Continue to Column M",IF(K58="Five yearly time-step","Switch to Offset Model_5 yearly"))</f>
        <v>0</v>
      </c>
      <c r="M58" s="70"/>
      <c r="N58" s="70"/>
      <c r="O58" s="70"/>
      <c r="P58" s="4" t="str">
        <f t="shared" si="4"/>
        <v>Not calculated</v>
      </c>
      <c r="Q58" s="4" t="e">
        <f t="array" ref="Q58">INDEX('Impact Model'!$D$15:$L$340,MATCH(D58&amp;E58,'Impact Model'!$D$15:$D$340&amp;'Impact Model'!$E$15:$E$340,0),8)</f>
        <v>#N/A</v>
      </c>
      <c r="R58" s="4" t="str">
        <f>IF(K58="Choose option", "Not calculated",IF(K58="Finite end point",SUM(P58:Q58),IF(COUNTIF(#REF!,"&gt;=0")&lt;1,INDEX(#REF!,1,COUNT(#REF!)),INDEX(#REF!,1,MATCH(TRUE,INDEX(#REF!&gt;=0,1,0),)))))</f>
        <v>Not calculated</v>
      </c>
      <c r="S58" s="18"/>
      <c r="T58" s="3"/>
      <c r="AF58" s="13"/>
      <c r="AG58"/>
      <c r="BF58" s="13"/>
    </row>
    <row r="59" spans="2:58" ht="44.1" customHeight="1" thickBot="1">
      <c r="B59" s="19"/>
      <c r="C59" s="19"/>
      <c r="D59" s="11" t="str">
        <f>CONCATENATE($B55,"e")</f>
        <v>0.6e</v>
      </c>
      <c r="E59" s="21">
        <f>VLOOKUP(D59,'Impact Model'!$D$15:$L$340,2,FALSE)</f>
        <v>0</v>
      </c>
      <c r="F59" s="21" t="e">
        <f t="array" ref="F59">INDEX('Impact Model'!$D$15:$F$340,MATCH(D59&amp;E59,'Impact Model'!$D$15:$D$340&amp;'Impact Model'!$E$15:$E$340,0),3)</f>
        <v>#N/A</v>
      </c>
      <c r="G59" s="21" t="e">
        <f t="array" ref="G59">INDEX('Impact Model'!$D$15:$H$340,MATCH(D59&amp;E59,'Impact Model'!$D$15:$D$340&amp;'Impact Model'!$E$15:$E$340,0),5)</f>
        <v>#N/A</v>
      </c>
      <c r="H59" s="93"/>
      <c r="I59" s="94"/>
      <c r="J59" s="142" t="s">
        <v>67</v>
      </c>
      <c r="K59" s="142" t="s">
        <v>77</v>
      </c>
      <c r="L59" s="143" t="b">
        <f>IF(K59="Finite end point","Continue to Column M",IF(K59="Five yearly time-step","Switch to Offset Model_5 yearly"))</f>
        <v>0</v>
      </c>
      <c r="M59" s="70"/>
      <c r="N59" s="70"/>
      <c r="O59" s="70"/>
      <c r="P59" s="4" t="str">
        <f t="shared" si="4"/>
        <v>Not calculated</v>
      </c>
      <c r="Q59" s="4" t="e">
        <f t="array" ref="Q59">INDEX('Impact Model'!$D$15:$L$340,MATCH(D59&amp;E59,'Impact Model'!$D$15:$D$340&amp;'Impact Model'!$E$15:$E$340,0),8)</f>
        <v>#N/A</v>
      </c>
      <c r="R59" s="4" t="str">
        <f>IF(K59="Choose option", "Not calculated",IF(K59="Finite end point",SUM(P59:Q59),IF(COUNTIF(#REF!,"&gt;=0")&lt;1,INDEX(#REF!,1,COUNT(#REF!)),INDEX(#REF!,1,MATCH(TRUE,INDEX(#REF!&gt;=0,1,0),)))))</f>
        <v>Not calculated</v>
      </c>
      <c r="S59" s="18"/>
      <c r="T59" s="3"/>
      <c r="AF59" s="13"/>
      <c r="AG59"/>
      <c r="BF59" s="13"/>
    </row>
    <row r="60" spans="2:58" ht="15.95" customHeight="1" thickBot="1"/>
    <row r="61" spans="2:58" s="60" customFormat="1" ht="108" customHeight="1">
      <c r="B61" s="12"/>
      <c r="C61" s="184" t="s">
        <v>47</v>
      </c>
      <c r="D61" s="185"/>
      <c r="E61" s="185"/>
      <c r="F61" s="185"/>
      <c r="G61" s="186"/>
      <c r="H61" s="184" t="s">
        <v>62</v>
      </c>
      <c r="I61" s="185"/>
      <c r="J61" s="186"/>
      <c r="K61" s="187" t="s">
        <v>44</v>
      </c>
      <c r="L61" s="188"/>
      <c r="M61" s="184" t="s">
        <v>78</v>
      </c>
      <c r="N61" s="185"/>
      <c r="O61" s="185"/>
      <c r="P61" s="185"/>
      <c r="Q61" s="185"/>
      <c r="R61" s="186"/>
      <c r="T61" s="154" t="s">
        <v>50</v>
      </c>
      <c r="AG61" s="27"/>
      <c r="BF61" s="68"/>
    </row>
    <row r="62" spans="2:58" s="60" customFormat="1" ht="62.1" customHeight="1" thickBot="1">
      <c r="C62" s="147" t="s">
        <v>4</v>
      </c>
      <c r="D62" s="191" t="s">
        <v>5</v>
      </c>
      <c r="E62" s="192"/>
      <c r="F62" s="34" t="s">
        <v>27</v>
      </c>
      <c r="G62" s="69" t="s">
        <v>33</v>
      </c>
      <c r="H62" s="33" t="s">
        <v>59</v>
      </c>
      <c r="I62" s="34" t="s">
        <v>20</v>
      </c>
      <c r="J62" s="22" t="s">
        <v>25</v>
      </c>
      <c r="K62" s="189"/>
      <c r="L62" s="190"/>
      <c r="M62" s="148" t="s">
        <v>84</v>
      </c>
      <c r="N62" s="148" t="s">
        <v>85</v>
      </c>
      <c r="O62" s="33" t="s">
        <v>45</v>
      </c>
      <c r="P62" s="34" t="s">
        <v>129</v>
      </c>
      <c r="Q62" s="35" t="s">
        <v>131</v>
      </c>
      <c r="R62" s="69" t="s">
        <v>51</v>
      </c>
      <c r="S62" s="15"/>
      <c r="T62" s="97" t="s">
        <v>52</v>
      </c>
      <c r="AF62" s="15"/>
      <c r="AG62" s="27"/>
      <c r="BF62" s="15"/>
    </row>
    <row r="63" spans="2:58" s="60" customFormat="1" ht="44.1" customHeight="1" thickBot="1">
      <c r="B63" s="11" t="str">
        <f>CONCATENATE($B$11+0.7)</f>
        <v>0.7</v>
      </c>
      <c r="C63" s="21">
        <f>VLOOKUP(B63,'Impact Model'!$B$15:$L$340,2,FALSE)</f>
        <v>0</v>
      </c>
      <c r="D63" s="11" t="str">
        <f>CONCATENATE($B63,"a")</f>
        <v>0.7a</v>
      </c>
      <c r="E63" s="21">
        <f>VLOOKUP(D63,'Impact Model'!$D$15:$L$340,2,FALSE)</f>
        <v>0</v>
      </c>
      <c r="F63" s="21" t="e">
        <f t="array" ref="F63">INDEX('Impact Model'!$D$15:$F$340,MATCH(D63&amp;E63,'Impact Model'!$D$15:$D$340&amp;'Impact Model'!$E$15:$E$340,0),3)</f>
        <v>#N/A</v>
      </c>
      <c r="G63" s="21" t="e">
        <f t="array" ref="G63">INDEX('Impact Model'!$D$15:$H$340,MATCH(D63&amp;E63,'Impact Model'!$D$15:$D$340&amp;'Impact Model'!$E$15:$E$340,0),5)</f>
        <v>#N/A</v>
      </c>
      <c r="H63" s="93"/>
      <c r="I63" s="94"/>
      <c r="J63" s="142" t="s">
        <v>67</v>
      </c>
      <c r="K63" s="142" t="s">
        <v>77</v>
      </c>
      <c r="L63" s="143" t="b">
        <f>IF(K63="Finite end point","Continue to Column M",IF(K63="Five yearly time-step","Switch to Offset Model_5 yearly"))</f>
        <v>0</v>
      </c>
      <c r="M63" s="70"/>
      <c r="N63" s="70"/>
      <c r="O63" s="70"/>
      <c r="P63" s="4" t="str">
        <f>IF(K63="Finite end point",IFERROR(IF(ISBLANK(O63),"",((IF($J63="Low confidence &gt;50% &lt;75%",(IF(N63&lt;$G63,N63/$G63,1)-IF(M63&lt;$G63,M63/$G63,1))*0.62,IF($J63="Confident 75-90%",(IF(N63&lt;$G63,N63/$G63,1)-IF(M63&lt;$G63,M63/$G63,1))*0.825,IF($J63="Very confident &gt;90%",(IF(N63&lt;$G63,N63/$G63,1)-IF(M63&lt;$G63,M63/$G63,1))*0.955)))))/(1+$E$11)^O63)*(I63),"Not calculated"),"Not calculated")</f>
        <v>Not calculated</v>
      </c>
      <c r="Q63" s="4" t="e">
        <f t="array" ref="Q63">INDEX('Impact Model'!$D$15:$L$340,MATCH(D63&amp;E63,'Impact Model'!$D$15:$D$340&amp;'Impact Model'!$E$15:$E$340,0),8)</f>
        <v>#N/A</v>
      </c>
      <c r="R63" s="4" t="str">
        <f>IF(K63="Choose option", "Not calculated",IF(K63="Finite end point",SUM(P63:Q63),IF(COUNTIF(#REF!,"&gt;=0")&lt;1,INDEX(#REF!,1,COUNT(#REF!)),INDEX(#REF!,1,MATCH(TRUE,INDEX(#REF!&gt;=0,1,0),)))))</f>
        <v>Not calculated</v>
      </c>
      <c r="S63" s="16"/>
      <c r="T63" s="4" t="str">
        <f>IF(R63="Not calculated","Not calculated",SUM(R63:R67)/ROUND(COUNTIF(R63:R67,"&gt;0")+COUNTIF(R63:R67,"&lt;0"),0))</f>
        <v>Not calculated</v>
      </c>
      <c r="U63" s="113"/>
      <c r="AF63" s="32"/>
      <c r="AG63" s="27"/>
      <c r="BF63" s="32"/>
    </row>
    <row r="64" spans="2:58" ht="44.1" customHeight="1" thickBot="1">
      <c r="B64" s="17"/>
      <c r="C64" s="17"/>
      <c r="D64" s="11" t="str">
        <f>CONCATENATE($B63,"b")</f>
        <v>0.7b</v>
      </c>
      <c r="E64" s="21">
        <f>VLOOKUP(D64,'Impact Model'!$D$15:$L$340,2,FALSE)</f>
        <v>0</v>
      </c>
      <c r="F64" s="21" t="e">
        <f t="array" ref="F64">INDEX('Impact Model'!$D$15:$F$340,MATCH(D64&amp;E64,'Impact Model'!$D$15:$D$340&amp;'Impact Model'!$E$15:$E$340,0),3)</f>
        <v>#N/A</v>
      </c>
      <c r="G64" s="21" t="e">
        <f t="array" ref="G64">INDEX('Impact Model'!$D$15:$H$340,MATCH(D64&amp;E64,'Impact Model'!$D$15:$D$340&amp;'Impact Model'!$E$15:$E$340,0),5)</f>
        <v>#N/A</v>
      </c>
      <c r="H64" s="93"/>
      <c r="I64" s="94"/>
      <c r="J64" s="142" t="s">
        <v>67</v>
      </c>
      <c r="K64" s="142" t="s">
        <v>77</v>
      </c>
      <c r="L64" s="143" t="b">
        <f>IF(K64="Finite end point","Continue to Column M",IF(K64="Five yearly time-step","Switch to Offset Model_5 yearly"))</f>
        <v>0</v>
      </c>
      <c r="M64" s="70"/>
      <c r="N64" s="70"/>
      <c r="O64" s="70"/>
      <c r="P64" s="4" t="str">
        <f t="shared" ref="P64:P67" si="5">IF(K64="Finite end point",IFERROR(IF(ISBLANK(O64),"",((IF($J64="Low confidence &gt;50% &lt;75%",(IF(N64&lt;$G64,N64/$G64,1)-IF(M64&lt;$G64,M64/$G64,1))*0.62,IF($J64="Confident 75-90%",(IF(N64&lt;$G64,N64/$G64,1)-IF(M64&lt;$G64,M64/$G64,1))*0.825,IF($J64="Very confident &gt;90%",(IF(N64&lt;$G64,N64/$G64,1)-IF(M64&lt;$G64,M64/$G64,1))*0.955)))))/(1+$E$11)^O64)*(I64),"Not calculated"),"Not calculated")</f>
        <v>Not calculated</v>
      </c>
      <c r="Q64" s="4" t="e">
        <f t="array" ref="Q64">INDEX('Impact Model'!$D$15:$L$340,MATCH(D64&amp;E64,'Impact Model'!$D$15:$D$340&amp;'Impact Model'!$E$15:$E$340,0),8)</f>
        <v>#N/A</v>
      </c>
      <c r="R64" s="4" t="str">
        <f>IF(K64="Choose option", "Not calculated",IF(K64="Finite end point",SUM(P64:Q64),IF(COUNTIF(#REF!,"&gt;=0")&lt;1,INDEX(#REF!,1,COUNT(#REF!)),INDEX(#REF!,1,MATCH(TRUE,INDEX(#REF!&gt;=0,1,0),)))))</f>
        <v>Not calculated</v>
      </c>
      <c r="S64" s="18"/>
      <c r="T64" s="3"/>
      <c r="AF64" s="13"/>
      <c r="AG64"/>
      <c r="BF64" s="13"/>
    </row>
    <row r="65" spans="2:58" ht="44.1" customHeight="1" thickBot="1">
      <c r="B65" s="19"/>
      <c r="C65" s="19"/>
      <c r="D65" s="11" t="str">
        <f>CONCATENATE($B63,"c")</f>
        <v>0.7c</v>
      </c>
      <c r="E65" s="21">
        <f>VLOOKUP(D65,'Impact Model'!$D$15:$L$340,2,FALSE)</f>
        <v>0</v>
      </c>
      <c r="F65" s="21" t="e">
        <f t="array" ref="F65">INDEX('Impact Model'!$D$15:$F$340,MATCH(D65&amp;E65,'Impact Model'!$D$15:$D$340&amp;'Impact Model'!$E$15:$E$340,0),3)</f>
        <v>#N/A</v>
      </c>
      <c r="G65" s="21" t="e">
        <f t="array" ref="G65">INDEX('Impact Model'!$D$15:$H$340,MATCH(D65&amp;E65,'Impact Model'!$D$15:$D$340&amp;'Impact Model'!$E$15:$E$340,0),5)</f>
        <v>#N/A</v>
      </c>
      <c r="H65" s="93"/>
      <c r="I65" s="94"/>
      <c r="J65" s="142" t="s">
        <v>67</v>
      </c>
      <c r="K65" s="142" t="s">
        <v>77</v>
      </c>
      <c r="L65" s="143" t="b">
        <f>IF(K65="Finite end point","Continue to Column M",IF(K65="Five yearly time-step","Switch to Offset Model_5 yearly"))</f>
        <v>0</v>
      </c>
      <c r="M65" s="70"/>
      <c r="N65" s="70"/>
      <c r="O65" s="70"/>
      <c r="P65" s="4" t="str">
        <f t="shared" si="5"/>
        <v>Not calculated</v>
      </c>
      <c r="Q65" s="4" t="e">
        <f t="array" ref="Q65">INDEX('Impact Model'!$D$15:$L$340,MATCH(D65&amp;E65,'Impact Model'!$D$15:$D$340&amp;'Impact Model'!$E$15:$E$340,0),8)</f>
        <v>#N/A</v>
      </c>
      <c r="R65" s="4" t="str">
        <f>IF(K65="Choose option", "Not calculated",IF(K65="Finite end point",SUM(P65:Q65),IF(COUNTIF(#REF!,"&gt;=0")&lt;1,INDEX(#REF!,1,COUNT(#REF!)),INDEX(#REF!,1,MATCH(TRUE,INDEX(#REF!&gt;=0,1,0),)))))</f>
        <v>Not calculated</v>
      </c>
      <c r="S65" s="18"/>
      <c r="T65" s="121"/>
      <c r="AF65" s="13"/>
      <c r="AG65"/>
      <c r="BF65" s="13"/>
    </row>
    <row r="66" spans="2:58" ht="44.1" customHeight="1" thickBot="1">
      <c r="B66" s="19"/>
      <c r="C66" s="19"/>
      <c r="D66" s="11" t="str">
        <f>CONCATENATE($B63,"d")</f>
        <v>0.7d</v>
      </c>
      <c r="E66" s="21">
        <f>VLOOKUP(D66,'Impact Model'!$D$15:$L$340,2,FALSE)</f>
        <v>0</v>
      </c>
      <c r="F66" s="21" t="e">
        <f t="array" ref="F66">INDEX('Impact Model'!$D$15:$F$340,MATCH(D66&amp;E66,'Impact Model'!$D$15:$D$340&amp;'Impact Model'!$E$15:$E$340,0),3)</f>
        <v>#N/A</v>
      </c>
      <c r="G66" s="21" t="e">
        <f t="array" ref="G66">INDEX('Impact Model'!$D$15:$H$340,MATCH(D66&amp;E66,'Impact Model'!$D$15:$D$340&amp;'Impact Model'!$E$15:$E$340,0),5)</f>
        <v>#N/A</v>
      </c>
      <c r="H66" s="93"/>
      <c r="I66" s="94"/>
      <c r="J66" s="142" t="s">
        <v>67</v>
      </c>
      <c r="K66" s="142" t="s">
        <v>77</v>
      </c>
      <c r="L66" s="143" t="b">
        <f>IF(K66="Finite end point","Continue to Column M",IF(K66="Five yearly time-step","Switch to Offset Model_5 yearly"))</f>
        <v>0</v>
      </c>
      <c r="M66" s="70"/>
      <c r="N66" s="70"/>
      <c r="O66" s="70"/>
      <c r="P66" s="4" t="str">
        <f t="shared" si="5"/>
        <v>Not calculated</v>
      </c>
      <c r="Q66" s="4" t="e">
        <f t="array" ref="Q66">INDEX('Impact Model'!$D$15:$L$340,MATCH(D66&amp;E66,'Impact Model'!$D$15:$D$340&amp;'Impact Model'!$E$15:$E$340,0),8)</f>
        <v>#N/A</v>
      </c>
      <c r="R66" s="4" t="str">
        <f>IF(K66="Choose option", "Not calculated",IF(K66="Finite end point",SUM(P66:Q66),IF(COUNTIF(#REF!,"&gt;=0")&lt;1,INDEX(#REF!,1,COUNT(#REF!)),INDEX(#REF!,1,MATCH(TRUE,INDEX(#REF!&gt;=0,1,0),)))))</f>
        <v>Not calculated</v>
      </c>
      <c r="S66" s="18"/>
      <c r="T66" s="3"/>
      <c r="AF66" s="13"/>
      <c r="AG66"/>
      <c r="BF66" s="13"/>
    </row>
    <row r="67" spans="2:58" ht="44.1" customHeight="1" thickBot="1">
      <c r="B67" s="19"/>
      <c r="C67" s="19"/>
      <c r="D67" s="11" t="str">
        <f>CONCATENATE($B63,"e")</f>
        <v>0.7e</v>
      </c>
      <c r="E67" s="21">
        <f>VLOOKUP(D67,'Impact Model'!$D$15:$L$340,2,FALSE)</f>
        <v>0</v>
      </c>
      <c r="F67" s="21" t="e">
        <f t="array" ref="F67">INDEX('Impact Model'!$D$15:$F$340,MATCH(D67&amp;E67,'Impact Model'!$D$15:$D$340&amp;'Impact Model'!$E$15:$E$340,0),3)</f>
        <v>#N/A</v>
      </c>
      <c r="G67" s="21" t="e">
        <f t="array" ref="G67">INDEX('Impact Model'!$D$15:$H$340,MATCH(D67&amp;E67,'Impact Model'!$D$15:$D$340&amp;'Impact Model'!$E$15:$E$340,0),5)</f>
        <v>#N/A</v>
      </c>
      <c r="H67" s="93"/>
      <c r="I67" s="94"/>
      <c r="J67" s="142" t="s">
        <v>67</v>
      </c>
      <c r="K67" s="142" t="s">
        <v>77</v>
      </c>
      <c r="L67" s="143" t="b">
        <f>IF(K67="Finite end point","Continue to Column M",IF(K67="Five yearly time-step","Switch to Offset Model_5 yearly"))</f>
        <v>0</v>
      </c>
      <c r="M67" s="70"/>
      <c r="N67" s="70"/>
      <c r="O67" s="70"/>
      <c r="P67" s="4" t="str">
        <f t="shared" si="5"/>
        <v>Not calculated</v>
      </c>
      <c r="Q67" s="4" t="e">
        <f t="array" ref="Q67">INDEX('Impact Model'!$D$15:$L$340,MATCH(D67&amp;E67,'Impact Model'!$D$15:$D$340&amp;'Impact Model'!$E$15:$E$340,0),8)</f>
        <v>#N/A</v>
      </c>
      <c r="R67" s="4" t="str">
        <f>IF(K67="Choose option", "Not calculated",IF(K67="Finite end point",SUM(P67:Q67),IF(COUNTIF(#REF!,"&gt;=0")&lt;1,INDEX(#REF!,1,COUNT(#REF!)),INDEX(#REF!,1,MATCH(TRUE,INDEX(#REF!&gt;=0,1,0),)))))</f>
        <v>Not calculated</v>
      </c>
      <c r="S67" s="18"/>
      <c r="T67" s="3"/>
      <c r="AF67" s="13"/>
      <c r="AG67"/>
      <c r="BF67" s="13"/>
    </row>
    <row r="68" spans="2:58" ht="15.95" customHeight="1" thickBot="1"/>
    <row r="69" spans="2:58" s="60" customFormat="1" ht="108" customHeight="1">
      <c r="B69" s="12"/>
      <c r="C69" s="184" t="s">
        <v>47</v>
      </c>
      <c r="D69" s="185"/>
      <c r="E69" s="185"/>
      <c r="F69" s="185"/>
      <c r="G69" s="186"/>
      <c r="H69" s="184" t="s">
        <v>62</v>
      </c>
      <c r="I69" s="185"/>
      <c r="J69" s="186"/>
      <c r="K69" s="187" t="s">
        <v>44</v>
      </c>
      <c r="L69" s="188"/>
      <c r="M69" s="184" t="s">
        <v>78</v>
      </c>
      <c r="N69" s="185"/>
      <c r="O69" s="185"/>
      <c r="P69" s="185"/>
      <c r="Q69" s="185"/>
      <c r="R69" s="186"/>
      <c r="T69" s="154" t="s">
        <v>50</v>
      </c>
      <c r="AG69" s="27"/>
      <c r="BF69" s="68"/>
    </row>
    <row r="70" spans="2:58" s="60" customFormat="1" ht="62.1" customHeight="1" thickBot="1">
      <c r="C70" s="147" t="s">
        <v>4</v>
      </c>
      <c r="D70" s="191" t="s">
        <v>5</v>
      </c>
      <c r="E70" s="192"/>
      <c r="F70" s="34" t="s">
        <v>27</v>
      </c>
      <c r="G70" s="69" t="s">
        <v>33</v>
      </c>
      <c r="H70" s="33" t="s">
        <v>59</v>
      </c>
      <c r="I70" s="34" t="s">
        <v>20</v>
      </c>
      <c r="J70" s="22" t="s">
        <v>25</v>
      </c>
      <c r="K70" s="189"/>
      <c r="L70" s="190"/>
      <c r="M70" s="148" t="s">
        <v>84</v>
      </c>
      <c r="N70" s="148" t="s">
        <v>85</v>
      </c>
      <c r="O70" s="33" t="s">
        <v>45</v>
      </c>
      <c r="P70" s="34" t="s">
        <v>129</v>
      </c>
      <c r="Q70" s="35" t="s">
        <v>131</v>
      </c>
      <c r="R70" s="69" t="s">
        <v>51</v>
      </c>
      <c r="S70" s="15"/>
      <c r="T70" s="97" t="s">
        <v>52</v>
      </c>
      <c r="AF70" s="15"/>
      <c r="AG70" s="27"/>
      <c r="BF70" s="15"/>
    </row>
    <row r="71" spans="2:58" s="60" customFormat="1" ht="44.1" customHeight="1" thickBot="1">
      <c r="B71" s="11" t="str">
        <f>CONCATENATE($B$11+0.8)</f>
        <v>0.8</v>
      </c>
      <c r="C71" s="21">
        <f>VLOOKUP(B71,'Impact Model'!$B$15:$L$340,2,FALSE)</f>
        <v>0</v>
      </c>
      <c r="D71" s="11" t="str">
        <f>CONCATENATE($B71,"a")</f>
        <v>0.8a</v>
      </c>
      <c r="E71" s="21">
        <f>VLOOKUP(D71,'Impact Model'!$D$15:$L$340,2,FALSE)</f>
        <v>0</v>
      </c>
      <c r="F71" s="21" t="e">
        <f t="array" ref="F71">INDEX('Impact Model'!$D$15:$F$340,MATCH(D71&amp;E71,'Impact Model'!$D$15:$D$340&amp;'Impact Model'!$E$15:$E$340,0),3)</f>
        <v>#N/A</v>
      </c>
      <c r="G71" s="21" t="e">
        <f t="array" ref="G71">INDEX('Impact Model'!$D$15:$H$340,MATCH(D71&amp;E71,'Impact Model'!$D$15:$D$340&amp;'Impact Model'!$E$15:$E$340,0),5)</f>
        <v>#N/A</v>
      </c>
      <c r="H71" s="93"/>
      <c r="I71" s="94"/>
      <c r="J71" s="142" t="s">
        <v>67</v>
      </c>
      <c r="K71" s="142" t="s">
        <v>77</v>
      </c>
      <c r="L71" s="143" t="b">
        <f>IF(K71="Finite end point","Continue to Column M",IF(K71="Five yearly time-step","Switch to Offset Model_5 yearly"))</f>
        <v>0</v>
      </c>
      <c r="M71" s="70"/>
      <c r="N71" s="70"/>
      <c r="O71" s="70"/>
      <c r="P71" s="4" t="str">
        <f>IF(K71="Finite end point",IFERROR(IF(ISBLANK(O71),"",((IF($J71="Low confidence &gt;50% &lt;75%",(IF(N71&lt;$G71,N71/$G71,1)-IF(M71&lt;$G71,M71/$G71,1))*0.62,IF($J71="Confident 75-90%",(IF(N71&lt;$G71,N71/$G71,1)-IF(M71&lt;$G71,M71/$G71,1))*0.825,IF($J71="Very confident &gt;90%",(IF(N71&lt;$G71,N71/$G71,1)-IF(M71&lt;$G71,M71/$G71,1))*0.955)))))/(1+$E$11)^O71)*(I71),"Not calculated"),"Not calculated")</f>
        <v>Not calculated</v>
      </c>
      <c r="Q71" s="4" t="e">
        <f t="array" ref="Q71">INDEX('Impact Model'!$D$15:$L$340,MATCH(D71&amp;E71,'Impact Model'!$D$15:$D$340&amp;'Impact Model'!$E$15:$E$340,0),8)</f>
        <v>#N/A</v>
      </c>
      <c r="R71" s="4" t="str">
        <f>IF(K71="Choose option", "Not calculated",IF(K71="Finite end point",SUM(P71:Q71),IF(COUNTIF(#REF!,"&gt;=0")&lt;1,INDEX(#REF!,1,COUNT(#REF!)),INDEX(#REF!,1,MATCH(TRUE,INDEX(#REF!&gt;=0,1,0),)))))</f>
        <v>Not calculated</v>
      </c>
      <c r="S71" s="16"/>
      <c r="T71" s="4" t="str">
        <f>IF(R71="Not calculated","Not calculated",SUM(R71:R75)/ROUND(COUNTIF(R71:R75,"&gt;0")+COUNTIF(R71:R75,"&lt;0"),0))</f>
        <v>Not calculated</v>
      </c>
      <c r="U71" s="113"/>
      <c r="AF71" s="32"/>
      <c r="AG71" s="27"/>
      <c r="BF71" s="32"/>
    </row>
    <row r="72" spans="2:58" ht="44.1" customHeight="1" thickBot="1">
      <c r="B72" s="17"/>
      <c r="C72" s="17"/>
      <c r="D72" s="11" t="str">
        <f>CONCATENATE($B71,"b")</f>
        <v>0.8b</v>
      </c>
      <c r="E72" s="21">
        <f>VLOOKUP(D72,'Impact Model'!$D$15:$L$340,2,FALSE)</f>
        <v>0</v>
      </c>
      <c r="F72" s="21" t="e">
        <f t="array" ref="F72">INDEX('Impact Model'!$D$15:$F$340,MATCH(D72&amp;E72,'Impact Model'!$D$15:$D$340&amp;'Impact Model'!$E$15:$E$340,0),3)</f>
        <v>#N/A</v>
      </c>
      <c r="G72" s="21" t="e">
        <f t="array" ref="G72">INDEX('Impact Model'!$D$15:$H$340,MATCH(D72&amp;E72,'Impact Model'!$D$15:$D$340&amp;'Impact Model'!$E$15:$E$340,0),5)</f>
        <v>#N/A</v>
      </c>
      <c r="H72" s="93"/>
      <c r="I72" s="94"/>
      <c r="J72" s="142" t="s">
        <v>67</v>
      </c>
      <c r="K72" s="142" t="s">
        <v>77</v>
      </c>
      <c r="L72" s="143" t="b">
        <f>IF(K72="Finite end point","Continue to Column M",IF(K72="Five yearly time-step","Switch to Offset Model_5 yearly"))</f>
        <v>0</v>
      </c>
      <c r="M72" s="70"/>
      <c r="N72" s="70"/>
      <c r="O72" s="70"/>
      <c r="P72" s="4" t="str">
        <f t="shared" ref="P72:P75" si="6">IF(K72="Finite end point",IFERROR(IF(ISBLANK(O72),"",((IF($J72="Low confidence &gt;50% &lt;75%",(IF(N72&lt;$G72,N72/$G72,1)-IF(M72&lt;$G72,M72/$G72,1))*0.62,IF($J72="Confident 75-90%",(IF(N72&lt;$G72,N72/$G72,1)-IF(M72&lt;$G72,M72/$G72,1))*0.825,IF($J72="Very confident &gt;90%",(IF(N72&lt;$G72,N72/$G72,1)-IF(M72&lt;$G72,M72/$G72,1))*0.955)))))/(1+$E$11)^O72)*(I72),"Not calculated"),"Not calculated")</f>
        <v>Not calculated</v>
      </c>
      <c r="Q72" s="4" t="e">
        <f t="array" ref="Q72">INDEX('Impact Model'!$D$15:$L$340,MATCH(D72&amp;E72,'Impact Model'!$D$15:$D$340&amp;'Impact Model'!$E$15:$E$340,0),8)</f>
        <v>#N/A</v>
      </c>
      <c r="R72" s="4" t="str">
        <f>IF(K72="Choose option", "Not calculated",IF(K72="Finite end point",SUM(P72:Q72),IF(COUNTIF(#REF!,"&gt;=0")&lt;1,INDEX(#REF!,1,COUNT(#REF!)),INDEX(#REF!,1,MATCH(TRUE,INDEX(#REF!&gt;=0,1,0),)))))</f>
        <v>Not calculated</v>
      </c>
      <c r="S72" s="18"/>
      <c r="T72" s="3"/>
      <c r="AF72" s="13"/>
      <c r="AG72"/>
      <c r="BF72" s="13"/>
    </row>
    <row r="73" spans="2:58" ht="44.1" customHeight="1" thickBot="1">
      <c r="B73" s="19"/>
      <c r="C73" s="19"/>
      <c r="D73" s="11" t="str">
        <f>CONCATENATE($B71,"c")</f>
        <v>0.8c</v>
      </c>
      <c r="E73" s="21">
        <f>VLOOKUP(D73,'Impact Model'!$D$15:$L$340,2,FALSE)</f>
        <v>0</v>
      </c>
      <c r="F73" s="21" t="e">
        <f t="array" ref="F73">INDEX('Impact Model'!$D$15:$F$340,MATCH(D73&amp;E73,'Impact Model'!$D$15:$D$340&amp;'Impact Model'!$E$15:$E$340,0),3)</f>
        <v>#N/A</v>
      </c>
      <c r="G73" s="21" t="e">
        <f t="array" ref="G73">INDEX('Impact Model'!$D$15:$H$340,MATCH(D73&amp;E73,'Impact Model'!$D$15:$D$340&amp;'Impact Model'!$E$15:$E$340,0),5)</f>
        <v>#N/A</v>
      </c>
      <c r="H73" s="93"/>
      <c r="I73" s="94"/>
      <c r="J73" s="142" t="s">
        <v>67</v>
      </c>
      <c r="K73" s="142" t="s">
        <v>77</v>
      </c>
      <c r="L73" s="143" t="b">
        <f>IF(K73="Finite end point","Continue to Column M",IF(K73="Five yearly time-step","Switch to Offset Model_5 yearly"))</f>
        <v>0</v>
      </c>
      <c r="M73" s="70"/>
      <c r="N73" s="70"/>
      <c r="O73" s="70"/>
      <c r="P73" s="4" t="str">
        <f t="shared" si="6"/>
        <v>Not calculated</v>
      </c>
      <c r="Q73" s="4" t="e">
        <f t="array" ref="Q73">INDEX('Impact Model'!$D$15:$L$340,MATCH(D73&amp;E73,'Impact Model'!$D$15:$D$340&amp;'Impact Model'!$E$15:$E$340,0),8)</f>
        <v>#N/A</v>
      </c>
      <c r="R73" s="4" t="str">
        <f>IF(K73="Choose option", "Not calculated",IF(K73="Finite end point",SUM(P73:Q73),IF(COUNTIF(#REF!,"&gt;=0")&lt;1,INDEX(#REF!,1,COUNT(#REF!)),INDEX(#REF!,1,MATCH(TRUE,INDEX(#REF!&gt;=0,1,0),)))))</f>
        <v>Not calculated</v>
      </c>
      <c r="S73" s="18"/>
      <c r="T73" s="121"/>
      <c r="AF73" s="13"/>
      <c r="AG73"/>
      <c r="BF73" s="13"/>
    </row>
    <row r="74" spans="2:58" ht="44.1" customHeight="1" thickBot="1">
      <c r="B74" s="19"/>
      <c r="C74" s="19"/>
      <c r="D74" s="11" t="str">
        <f>CONCATENATE($B71,"d")</f>
        <v>0.8d</v>
      </c>
      <c r="E74" s="21">
        <f>VLOOKUP(D74,'Impact Model'!$D$15:$L$340,2,FALSE)</f>
        <v>0</v>
      </c>
      <c r="F74" s="21" t="e">
        <f t="array" ref="F74">INDEX('Impact Model'!$D$15:$F$340,MATCH(D74&amp;E74,'Impact Model'!$D$15:$D$340&amp;'Impact Model'!$E$15:$E$340,0),3)</f>
        <v>#N/A</v>
      </c>
      <c r="G74" s="21" t="e">
        <f t="array" ref="G74">INDEX('Impact Model'!$D$15:$H$340,MATCH(D74&amp;E74,'Impact Model'!$D$15:$D$340&amp;'Impact Model'!$E$15:$E$340,0),5)</f>
        <v>#N/A</v>
      </c>
      <c r="H74" s="93"/>
      <c r="I74" s="94"/>
      <c r="J74" s="142" t="s">
        <v>67</v>
      </c>
      <c r="K74" s="142" t="s">
        <v>77</v>
      </c>
      <c r="L74" s="143" t="b">
        <f>IF(K74="Finite end point","Continue to Column M",IF(K74="Five yearly time-step","Switch to Offset Model_5 yearly"))</f>
        <v>0</v>
      </c>
      <c r="M74" s="70"/>
      <c r="N74" s="70"/>
      <c r="O74" s="70"/>
      <c r="P74" s="4" t="str">
        <f t="shared" si="6"/>
        <v>Not calculated</v>
      </c>
      <c r="Q74" s="4" t="e">
        <f t="array" ref="Q74">INDEX('Impact Model'!$D$15:$L$340,MATCH(D74&amp;E74,'Impact Model'!$D$15:$D$340&amp;'Impact Model'!$E$15:$E$340,0),8)</f>
        <v>#N/A</v>
      </c>
      <c r="R74" s="4" t="str">
        <f>IF(K74="Choose option", "Not calculated",IF(K74="Finite end point",SUM(P74:Q74),IF(COUNTIF(#REF!,"&gt;=0")&lt;1,INDEX(#REF!,1,COUNT(#REF!)),INDEX(#REF!,1,MATCH(TRUE,INDEX(#REF!&gt;=0,1,0),)))))</f>
        <v>Not calculated</v>
      </c>
      <c r="S74" s="18"/>
      <c r="T74" s="3"/>
      <c r="AF74" s="13"/>
      <c r="AG74"/>
      <c r="BF74" s="13"/>
    </row>
    <row r="75" spans="2:58" ht="44.1" customHeight="1" thickBot="1">
      <c r="B75" s="19"/>
      <c r="C75" s="19"/>
      <c r="D75" s="11" t="str">
        <f>CONCATENATE($B71,"e")</f>
        <v>0.8e</v>
      </c>
      <c r="E75" s="21">
        <f>VLOOKUP(D75,'Impact Model'!$D$15:$L$340,2,FALSE)</f>
        <v>0</v>
      </c>
      <c r="F75" s="21" t="e">
        <f t="array" ref="F75">INDEX('Impact Model'!$D$15:$F$340,MATCH(D75&amp;E75,'Impact Model'!$D$15:$D$340&amp;'Impact Model'!$E$15:$E$340,0),3)</f>
        <v>#N/A</v>
      </c>
      <c r="G75" s="21" t="e">
        <f t="array" ref="G75">INDEX('Impact Model'!$D$15:$H$340,MATCH(D75&amp;E75,'Impact Model'!$D$15:$D$340&amp;'Impact Model'!$E$15:$E$340,0),5)</f>
        <v>#N/A</v>
      </c>
      <c r="H75" s="93"/>
      <c r="I75" s="94"/>
      <c r="J75" s="142" t="s">
        <v>67</v>
      </c>
      <c r="K75" s="142" t="s">
        <v>77</v>
      </c>
      <c r="L75" s="143" t="b">
        <f>IF(K75="Finite end point","Continue to Column M",IF(K75="Five yearly time-step","Switch to Offset Model_5 yearly"))</f>
        <v>0</v>
      </c>
      <c r="M75" s="70"/>
      <c r="N75" s="70"/>
      <c r="O75" s="70"/>
      <c r="P75" s="4" t="str">
        <f t="shared" si="6"/>
        <v>Not calculated</v>
      </c>
      <c r="Q75" s="4" t="e">
        <f t="array" ref="Q75">INDEX('Impact Model'!$D$15:$L$340,MATCH(D75&amp;E75,'Impact Model'!$D$15:$D$340&amp;'Impact Model'!$E$15:$E$340,0),8)</f>
        <v>#N/A</v>
      </c>
      <c r="R75" s="4" t="str">
        <f>IF(K75="Choose option", "Not calculated",IF(K75="Finite end point",SUM(P75:Q75),IF(COUNTIF(#REF!,"&gt;=0")&lt;1,INDEX(#REF!,1,COUNT(#REF!)),INDEX(#REF!,1,MATCH(TRUE,INDEX(#REF!&gt;=0,1,0),)))))</f>
        <v>Not calculated</v>
      </c>
      <c r="S75" s="18"/>
      <c r="T75" s="3"/>
      <c r="AF75" s="13"/>
      <c r="AG75"/>
      <c r="BF75" s="13"/>
    </row>
    <row r="76" spans="2:58" ht="15.95" customHeight="1" thickBot="1"/>
    <row r="77" spans="2:58" s="60" customFormat="1" ht="108" customHeight="1">
      <c r="B77" s="12"/>
      <c r="C77" s="184" t="s">
        <v>47</v>
      </c>
      <c r="D77" s="185"/>
      <c r="E77" s="185"/>
      <c r="F77" s="185"/>
      <c r="G77" s="186"/>
      <c r="H77" s="184" t="s">
        <v>62</v>
      </c>
      <c r="I77" s="185"/>
      <c r="J77" s="186"/>
      <c r="K77" s="187" t="s">
        <v>44</v>
      </c>
      <c r="L77" s="188"/>
      <c r="M77" s="184" t="s">
        <v>78</v>
      </c>
      <c r="N77" s="185"/>
      <c r="O77" s="185"/>
      <c r="P77" s="185"/>
      <c r="Q77" s="185"/>
      <c r="R77" s="186"/>
      <c r="T77" s="154" t="s">
        <v>50</v>
      </c>
      <c r="AG77" s="27"/>
      <c r="BF77" s="68"/>
    </row>
    <row r="78" spans="2:58" s="60" customFormat="1" ht="62.1" customHeight="1" thickBot="1">
      <c r="C78" s="147" t="s">
        <v>4</v>
      </c>
      <c r="D78" s="191" t="s">
        <v>5</v>
      </c>
      <c r="E78" s="192"/>
      <c r="F78" s="34" t="s">
        <v>27</v>
      </c>
      <c r="G78" s="69" t="s">
        <v>33</v>
      </c>
      <c r="H78" s="33" t="s">
        <v>59</v>
      </c>
      <c r="I78" s="34" t="s">
        <v>20</v>
      </c>
      <c r="J78" s="22" t="s">
        <v>25</v>
      </c>
      <c r="K78" s="189"/>
      <c r="L78" s="190"/>
      <c r="M78" s="148" t="s">
        <v>84</v>
      </c>
      <c r="N78" s="148" t="s">
        <v>85</v>
      </c>
      <c r="O78" s="33" t="s">
        <v>45</v>
      </c>
      <c r="P78" s="34" t="s">
        <v>129</v>
      </c>
      <c r="Q78" s="35" t="s">
        <v>131</v>
      </c>
      <c r="R78" s="69" t="s">
        <v>51</v>
      </c>
      <c r="S78" s="15"/>
      <c r="T78" s="97" t="s">
        <v>52</v>
      </c>
      <c r="AF78" s="15"/>
      <c r="AG78" s="27"/>
      <c r="BF78" s="15"/>
    </row>
    <row r="79" spans="2:58" s="60" customFormat="1" ht="44.1" customHeight="1" thickBot="1">
      <c r="B79" s="11" t="str">
        <f>CONCATENATE($B$11+0.9)</f>
        <v>0.9</v>
      </c>
      <c r="C79" s="21">
        <f>VLOOKUP(B79,'Impact Model'!$B$15:$L$340,2,FALSE)</f>
        <v>0</v>
      </c>
      <c r="D79" s="11" t="str">
        <f>CONCATENATE($B79,"a")</f>
        <v>0.9a</v>
      </c>
      <c r="E79" s="21">
        <f>VLOOKUP(D79,'Impact Model'!$D$15:$L$340,2,FALSE)</f>
        <v>0</v>
      </c>
      <c r="F79" s="21" t="e">
        <f t="array" ref="F79">INDEX('Impact Model'!$D$15:$F$340,MATCH(D79&amp;E79,'Impact Model'!$D$15:$D$340&amp;'Impact Model'!$E$15:$E$340,0),3)</f>
        <v>#N/A</v>
      </c>
      <c r="G79" s="21" t="e">
        <f t="array" ref="G79">INDEX('Impact Model'!$D$15:$H$340,MATCH(D79&amp;E79,'Impact Model'!$D$15:$D$340&amp;'Impact Model'!$E$15:$E$340,0),5)</f>
        <v>#N/A</v>
      </c>
      <c r="H79" s="93"/>
      <c r="I79" s="94"/>
      <c r="J79" s="142" t="s">
        <v>67</v>
      </c>
      <c r="K79" s="142" t="s">
        <v>77</v>
      </c>
      <c r="L79" s="143" t="b">
        <f>IF(K79="Finite end point","Continue to Column M",IF(K79="Five yearly time-step","Switch to Offset Model_5 yearly"))</f>
        <v>0</v>
      </c>
      <c r="M79" s="70"/>
      <c r="N79" s="70"/>
      <c r="O79" s="70"/>
      <c r="P79" s="4" t="str">
        <f>IF(K79="Finite end point",IFERROR(IF(ISBLANK(O79),"",((IF($J79="Low confidence &gt;50% &lt;75%",(IF(N79&lt;$G79,N79/$G79,1)-IF(M79&lt;$G79,M79/$G79,1))*0.62,IF($J79="Confident 75-90%",(IF(N79&lt;$G79,N79/$G79,1)-IF(M79&lt;$G79,M79/$G79,1))*0.825,IF($J79="Very confident &gt;90%",(IF(N79&lt;$G79,N79/$G79,1)-IF(M79&lt;$G79,M79/$G79,1))*0.955)))))/(1+$E$11)^O79)*(I79),"Not calculated"),"Not calculated")</f>
        <v>Not calculated</v>
      </c>
      <c r="Q79" s="4" t="e">
        <f t="array" ref="Q79">INDEX('Impact Model'!$D$15:$L$340,MATCH(D79&amp;E79,'Impact Model'!$D$15:$D$340&amp;'Impact Model'!$E$15:$E$340,0),8)</f>
        <v>#N/A</v>
      </c>
      <c r="R79" s="4" t="str">
        <f>IF(K79="Choose option", "Not calculated",IF(K79="Finite end point",SUM(P79:Q79),IF(COUNTIF(#REF!,"&gt;=0")&lt;1,INDEX(#REF!,1,COUNT(#REF!)),INDEX(#REF!,1,MATCH(TRUE,INDEX(#REF!&gt;=0,1,0),)))))</f>
        <v>Not calculated</v>
      </c>
      <c r="S79" s="16"/>
      <c r="T79" s="4" t="str">
        <f>IF(R79="Not calculated","Not calculated",SUM(R79:R83)/ROUND(COUNTIF(R79:R83,"&gt;0")+COUNTIF(R79:R83,"&lt;0"),0))</f>
        <v>Not calculated</v>
      </c>
      <c r="U79" s="113"/>
      <c r="AF79" s="32"/>
      <c r="AG79" s="27"/>
      <c r="BF79" s="32"/>
    </row>
    <row r="80" spans="2:58" ht="44.1" customHeight="1" thickBot="1">
      <c r="B80" s="17"/>
      <c r="C80" s="17"/>
      <c r="D80" s="11" t="str">
        <f>CONCATENATE($B79,"b")</f>
        <v>0.9b</v>
      </c>
      <c r="E80" s="21">
        <f>VLOOKUP(D80,'Impact Model'!$D$15:$L$340,2,FALSE)</f>
        <v>0</v>
      </c>
      <c r="F80" s="21" t="e">
        <f t="array" ref="F80">INDEX('Impact Model'!$D$15:$F$340,MATCH(D80&amp;E80,'Impact Model'!$D$15:$D$340&amp;'Impact Model'!$E$15:$E$340,0),3)</f>
        <v>#N/A</v>
      </c>
      <c r="G80" s="21" t="e">
        <f t="array" ref="G80">INDEX('Impact Model'!$D$15:$H$340,MATCH(D80&amp;E80,'Impact Model'!$D$15:$D$340&amp;'Impact Model'!$E$15:$E$340,0),5)</f>
        <v>#N/A</v>
      </c>
      <c r="H80" s="93"/>
      <c r="I80" s="94"/>
      <c r="J80" s="142" t="s">
        <v>67</v>
      </c>
      <c r="K80" s="142" t="s">
        <v>77</v>
      </c>
      <c r="L80" s="143" t="b">
        <f>IF(K80="Finite end point","Continue to Column M",IF(K80="Five yearly time-step","Switch to Offset Model_5 yearly"))</f>
        <v>0</v>
      </c>
      <c r="M80" s="70"/>
      <c r="N80" s="70"/>
      <c r="O80" s="70"/>
      <c r="P80" s="4" t="str">
        <f t="shared" ref="P80:P83" si="7">IF(K80="Finite end point",IFERROR(IF(ISBLANK(O80),"",((IF($J80="Low confidence &gt;50% &lt;75%",(IF(N80&lt;$G80,N80/$G80,1)-IF(M80&lt;$G80,M80/$G80,1))*0.62,IF($J80="Confident 75-90%",(IF(N80&lt;$G80,N80/$G80,1)-IF(M80&lt;$G80,M80/$G80,1))*0.825,IF($J80="Very confident &gt;90%",(IF(N80&lt;$G80,N80/$G80,1)-IF(M80&lt;$G80,M80/$G80,1))*0.955)))))/(1+$E$11)^O80)*(I80),"Not calculated"),"Not calculated")</f>
        <v>Not calculated</v>
      </c>
      <c r="Q80" s="4" t="e">
        <f t="array" ref="Q80">INDEX('Impact Model'!$D$15:$L$340,MATCH(D80&amp;E80,'Impact Model'!$D$15:$D$340&amp;'Impact Model'!$E$15:$E$340,0),8)</f>
        <v>#N/A</v>
      </c>
      <c r="R80" s="4" t="str">
        <f>IF(K80="Choose option", "Not calculated",IF(K80="Finite end point",SUM(P80:Q80),IF(COUNTIF(#REF!,"&gt;=0")&lt;1,INDEX(#REF!,1,COUNT(#REF!)),INDEX(#REF!,1,MATCH(TRUE,INDEX(#REF!&gt;=0,1,0),)))))</f>
        <v>Not calculated</v>
      </c>
      <c r="S80" s="18"/>
      <c r="T80" s="3"/>
      <c r="AF80" s="13"/>
      <c r="AG80"/>
      <c r="BF80" s="13"/>
    </row>
    <row r="81" spans="2:58" ht="44.1" customHeight="1" thickBot="1">
      <c r="B81" s="19"/>
      <c r="C81" s="19"/>
      <c r="D81" s="11" t="str">
        <f>CONCATENATE($B79,"c")</f>
        <v>0.9c</v>
      </c>
      <c r="E81" s="21">
        <f>VLOOKUP(D81,'Impact Model'!$D$15:$L$340,2,FALSE)</f>
        <v>0</v>
      </c>
      <c r="F81" s="21" t="e">
        <f t="array" ref="F81">INDEX('Impact Model'!$D$15:$F$340,MATCH(D81&amp;E81,'Impact Model'!$D$15:$D$340&amp;'Impact Model'!$E$15:$E$340,0),3)</f>
        <v>#N/A</v>
      </c>
      <c r="G81" s="21" t="e">
        <f t="array" ref="G81">INDEX('Impact Model'!$D$15:$H$340,MATCH(D81&amp;E81,'Impact Model'!$D$15:$D$340&amp;'Impact Model'!$E$15:$E$340,0),5)</f>
        <v>#N/A</v>
      </c>
      <c r="H81" s="93"/>
      <c r="I81" s="94"/>
      <c r="J81" s="142" t="s">
        <v>67</v>
      </c>
      <c r="K81" s="142" t="s">
        <v>77</v>
      </c>
      <c r="L81" s="143" t="b">
        <f>IF(K81="Finite end point","Continue to Column M",IF(K81="Five yearly time-step","Switch to Offset Model_5 yearly"))</f>
        <v>0</v>
      </c>
      <c r="M81" s="70"/>
      <c r="N81" s="70"/>
      <c r="O81" s="70"/>
      <c r="P81" s="4" t="str">
        <f t="shared" si="7"/>
        <v>Not calculated</v>
      </c>
      <c r="Q81" s="4" t="e">
        <f t="array" ref="Q81">INDEX('Impact Model'!$D$15:$L$340,MATCH(D81&amp;E81,'Impact Model'!$D$15:$D$340&amp;'Impact Model'!$E$15:$E$340,0),8)</f>
        <v>#N/A</v>
      </c>
      <c r="R81" s="4" t="str">
        <f>IF(K81="Choose option", "Not calculated",IF(K81="Finite end point",SUM(P81:Q81),IF(COUNTIF(#REF!,"&gt;=0")&lt;1,INDEX(#REF!,1,COUNT(#REF!)),INDEX(#REF!,1,MATCH(TRUE,INDEX(#REF!&gt;=0,1,0),)))))</f>
        <v>Not calculated</v>
      </c>
      <c r="S81" s="18"/>
      <c r="T81" s="121"/>
      <c r="AF81" s="13"/>
      <c r="AG81"/>
      <c r="BF81" s="13"/>
    </row>
    <row r="82" spans="2:58" ht="44.1" customHeight="1" thickBot="1">
      <c r="B82" s="19"/>
      <c r="C82" s="19"/>
      <c r="D82" s="11" t="str">
        <f>CONCATENATE($B79,"d")</f>
        <v>0.9d</v>
      </c>
      <c r="E82" s="21">
        <f>VLOOKUP(D82,'Impact Model'!$D$15:$L$340,2,FALSE)</f>
        <v>0</v>
      </c>
      <c r="F82" s="21" t="e">
        <f t="array" ref="F82">INDEX('Impact Model'!$D$15:$F$340,MATCH(D82&amp;E82,'Impact Model'!$D$15:$D$340&amp;'Impact Model'!$E$15:$E$340,0),3)</f>
        <v>#N/A</v>
      </c>
      <c r="G82" s="21" t="e">
        <f t="array" ref="G82">INDEX('Impact Model'!$D$15:$H$340,MATCH(D82&amp;E82,'Impact Model'!$D$15:$D$340&amp;'Impact Model'!$E$15:$E$340,0),5)</f>
        <v>#N/A</v>
      </c>
      <c r="H82" s="93"/>
      <c r="I82" s="94"/>
      <c r="J82" s="142" t="s">
        <v>67</v>
      </c>
      <c r="K82" s="142" t="s">
        <v>77</v>
      </c>
      <c r="L82" s="143" t="b">
        <f>IF(K82="Finite end point","Continue to Column M",IF(K82="Five yearly time-step","Switch to Offset Model_5 yearly"))</f>
        <v>0</v>
      </c>
      <c r="M82" s="70"/>
      <c r="N82" s="70"/>
      <c r="O82" s="70"/>
      <c r="P82" s="4" t="str">
        <f t="shared" si="7"/>
        <v>Not calculated</v>
      </c>
      <c r="Q82" s="4" t="e">
        <f t="array" ref="Q82">INDEX('Impact Model'!$D$15:$L$340,MATCH(D82&amp;E82,'Impact Model'!$D$15:$D$340&amp;'Impact Model'!$E$15:$E$340,0),8)</f>
        <v>#N/A</v>
      </c>
      <c r="R82" s="4" t="str">
        <f>IF(K82="Choose option", "Not calculated",IF(K82="Finite end point",SUM(P82:Q82),IF(COUNTIF(#REF!,"&gt;=0")&lt;1,INDEX(#REF!,1,COUNT(#REF!)),INDEX(#REF!,1,MATCH(TRUE,INDEX(#REF!&gt;=0,1,0),)))))</f>
        <v>Not calculated</v>
      </c>
      <c r="S82" s="18"/>
      <c r="T82" s="3"/>
      <c r="AF82" s="13"/>
      <c r="AG82"/>
      <c r="BF82" s="13"/>
    </row>
    <row r="83" spans="2:58" ht="44.1" customHeight="1" thickBot="1">
      <c r="B83" s="19"/>
      <c r="C83" s="19"/>
      <c r="D83" s="11" t="str">
        <f>CONCATENATE($B79,"e")</f>
        <v>0.9e</v>
      </c>
      <c r="E83" s="21">
        <f>VLOOKUP(D83,'Impact Model'!$D$15:$L$340,2,FALSE)</f>
        <v>0</v>
      </c>
      <c r="F83" s="21" t="e">
        <f t="array" ref="F83">INDEX('Impact Model'!$D$15:$F$340,MATCH(D83&amp;E83,'Impact Model'!$D$15:$D$340&amp;'Impact Model'!$E$15:$E$340,0),3)</f>
        <v>#N/A</v>
      </c>
      <c r="G83" s="21" t="e">
        <f t="array" ref="G83">INDEX('Impact Model'!$D$15:$H$340,MATCH(D83&amp;E83,'Impact Model'!$D$15:$D$340&amp;'Impact Model'!$E$15:$E$340,0),5)</f>
        <v>#N/A</v>
      </c>
      <c r="H83" s="93"/>
      <c r="I83" s="94"/>
      <c r="J83" s="142" t="s">
        <v>67</v>
      </c>
      <c r="K83" s="142" t="s">
        <v>77</v>
      </c>
      <c r="L83" s="143" t="b">
        <f>IF(K83="Finite end point","Continue to Column M",IF(K83="Five yearly time-step","Switch to Offset Model_5 yearly"))</f>
        <v>0</v>
      </c>
      <c r="M83" s="70"/>
      <c r="N83" s="70"/>
      <c r="O83" s="70"/>
      <c r="P83" s="4" t="str">
        <f t="shared" si="7"/>
        <v>Not calculated</v>
      </c>
      <c r="Q83" s="4" t="e">
        <f t="array" ref="Q83">INDEX('Impact Model'!$D$15:$L$340,MATCH(D83&amp;E83,'Impact Model'!$D$15:$D$340&amp;'Impact Model'!$E$15:$E$340,0),8)</f>
        <v>#N/A</v>
      </c>
      <c r="R83" s="4" t="str">
        <f>IF(K83="Choose option", "Not calculated",IF(K83="Finite end point",SUM(P83:Q83),IF(COUNTIF(#REF!,"&gt;=0")&lt;1,INDEX(#REF!,1,COUNT(#REF!)),INDEX(#REF!,1,MATCH(TRUE,INDEX(#REF!&gt;=0,1,0),)))))</f>
        <v>Not calculated</v>
      </c>
      <c r="S83" s="18"/>
      <c r="T83" s="3"/>
      <c r="AF83" s="13"/>
      <c r="AG83"/>
      <c r="BF83" s="13"/>
    </row>
    <row r="84" spans="2:58" ht="15.95" customHeight="1" thickBot="1"/>
    <row r="85" spans="2:58" s="60" customFormat="1" ht="108" customHeight="1">
      <c r="B85" s="12"/>
      <c r="C85" s="184" t="s">
        <v>47</v>
      </c>
      <c r="D85" s="185"/>
      <c r="E85" s="185"/>
      <c r="F85" s="185"/>
      <c r="G85" s="186"/>
      <c r="H85" s="184" t="s">
        <v>62</v>
      </c>
      <c r="I85" s="185"/>
      <c r="J85" s="186"/>
      <c r="K85" s="187" t="s">
        <v>44</v>
      </c>
      <c r="L85" s="188"/>
      <c r="M85" s="184" t="s">
        <v>78</v>
      </c>
      <c r="N85" s="185"/>
      <c r="O85" s="185"/>
      <c r="P85" s="185"/>
      <c r="Q85" s="185"/>
      <c r="R85" s="186"/>
      <c r="T85" s="154" t="s">
        <v>50</v>
      </c>
      <c r="AG85" s="27"/>
      <c r="BF85" s="68"/>
    </row>
    <row r="86" spans="2:58" s="60" customFormat="1" ht="62.1" customHeight="1" thickBot="1">
      <c r="C86" s="147" t="s">
        <v>4</v>
      </c>
      <c r="D86" s="191" t="s">
        <v>5</v>
      </c>
      <c r="E86" s="192"/>
      <c r="F86" s="34" t="s">
        <v>27</v>
      </c>
      <c r="G86" s="69" t="s">
        <v>33</v>
      </c>
      <c r="H86" s="33" t="s">
        <v>59</v>
      </c>
      <c r="I86" s="34" t="s">
        <v>20</v>
      </c>
      <c r="J86" s="22" t="s">
        <v>25</v>
      </c>
      <c r="K86" s="189"/>
      <c r="L86" s="190"/>
      <c r="M86" s="148" t="s">
        <v>84</v>
      </c>
      <c r="N86" s="148" t="s">
        <v>85</v>
      </c>
      <c r="O86" s="33" t="s">
        <v>45</v>
      </c>
      <c r="P86" s="34" t="s">
        <v>129</v>
      </c>
      <c r="Q86" s="35" t="s">
        <v>131</v>
      </c>
      <c r="R86" s="69" t="s">
        <v>51</v>
      </c>
      <c r="S86" s="15"/>
      <c r="T86" s="97" t="s">
        <v>52</v>
      </c>
      <c r="AF86" s="15"/>
      <c r="AG86" s="27"/>
      <c r="BF86" s="15"/>
    </row>
    <row r="87" spans="2:58" s="60" customFormat="1" ht="44.1" customHeight="1" thickBot="1">
      <c r="B87" s="11" t="str">
        <f>$B$11&amp;TEXT(".10",".00")</f>
        <v>0.10</v>
      </c>
      <c r="C87" s="21" t="e">
        <f>VLOOKUP(B87,'Impact Model'!$B$15:$L$340,2,FALSE)</f>
        <v>#N/A</v>
      </c>
      <c r="D87" s="11" t="str">
        <f>CONCATENATE($B87,"a")</f>
        <v>0.10a</v>
      </c>
      <c r="E87" s="21" t="e">
        <f>VLOOKUP(D87,'Impact Model'!$D$15:$L$340,2,FALSE)</f>
        <v>#N/A</v>
      </c>
      <c r="F87" s="21" t="e">
        <f t="array" ref="F87">INDEX('Impact Model'!$D$15:$F$340,MATCH(D87&amp;E87,'Impact Model'!$D$15:$D$340&amp;'Impact Model'!$E$15:$E$340,0),3)</f>
        <v>#N/A</v>
      </c>
      <c r="G87" s="21" t="e">
        <f t="array" ref="G87">INDEX('Impact Model'!$D$15:$H$340,MATCH(D87&amp;E87,'Impact Model'!$D$15:$D$340&amp;'Impact Model'!$E$15:$E$340,0),5)</f>
        <v>#N/A</v>
      </c>
      <c r="H87" s="93"/>
      <c r="I87" s="94"/>
      <c r="J87" s="142" t="s">
        <v>67</v>
      </c>
      <c r="K87" s="142" t="s">
        <v>77</v>
      </c>
      <c r="L87" s="143" t="b">
        <f>IF(K87="Finite end point","Continue to Column M",IF(K87="Five yearly time-step","Switch to Offset Model_5 yearly"))</f>
        <v>0</v>
      </c>
      <c r="M87" s="70"/>
      <c r="N87" s="70"/>
      <c r="O87" s="70"/>
      <c r="P87" s="4" t="str">
        <f>IF(K87="Finite end point",IFERROR(IF(ISBLANK(O87),"",((IF($J87="Low confidence &gt;50% &lt;75%",(IF(N87&lt;$G87,N87/$G87,1)-IF(M87&lt;$G87,M87/$G87,1))*0.62,IF($J87="Confident 75-90%",(IF(N87&lt;$G87,N87/$G87,1)-IF(M87&lt;$G87,M87/$G87,1))*0.825,IF($J87="Very confident &gt;90%",(IF(N87&lt;$G87,N87/$G87,1)-IF(M87&lt;$G87,M87/$G87,1))*0.955)))))/(1+$E$11)^O87)*(I87),"Not calculated"),"Not calculated")</f>
        <v>Not calculated</v>
      </c>
      <c r="Q87" s="4" t="e">
        <f t="array" ref="Q87">INDEX('Impact Model'!$D$15:$L$340,MATCH(D87&amp;E87,'Impact Model'!$D$15:$D$340&amp;'Impact Model'!$E$15:$E$340,0),8)</f>
        <v>#N/A</v>
      </c>
      <c r="R87" s="4" t="str">
        <f>IF(K87="Choose option", "Not calculated",IF(K87="Finite end point",SUM(P87:Q87),IF(COUNTIF(#REF!,"&gt;=0")&lt;1,INDEX(#REF!,1,COUNT(#REF!)),INDEX(#REF!,1,MATCH(TRUE,INDEX(#REF!&gt;=0,1,0),)))))</f>
        <v>Not calculated</v>
      </c>
      <c r="S87" s="16"/>
      <c r="T87" s="4" t="str">
        <f>IF(R87="Not calculated","Not calculated",SUM(R87:R91)/ROUND(COUNTIF(R87:R91,"&gt;0")+COUNTIF(R87:R91,"&lt;0"),0))</f>
        <v>Not calculated</v>
      </c>
      <c r="U87" s="113"/>
      <c r="AF87" s="32"/>
      <c r="AG87" s="27"/>
      <c r="BF87" s="32"/>
    </row>
    <row r="88" spans="2:58" ht="44.1" customHeight="1" thickBot="1">
      <c r="B88" s="17"/>
      <c r="C88" s="17"/>
      <c r="D88" s="11" t="str">
        <f>CONCATENATE($B87,"b")</f>
        <v>0.10b</v>
      </c>
      <c r="E88" s="21" t="e">
        <f>VLOOKUP(D88,'Impact Model'!$D$15:$L$340,2,FALSE)</f>
        <v>#N/A</v>
      </c>
      <c r="F88" s="21" t="e">
        <f t="array" ref="F88">INDEX('Impact Model'!$D$15:$F$340,MATCH(D88&amp;E88,'Impact Model'!$D$15:$D$340&amp;'Impact Model'!$E$15:$E$340,0),3)</f>
        <v>#N/A</v>
      </c>
      <c r="G88" s="21" t="e">
        <f t="array" ref="G88">INDEX('Impact Model'!$D$15:$H$340,MATCH(D88&amp;E88,'Impact Model'!$D$15:$D$340&amp;'Impact Model'!$E$15:$E$340,0),5)</f>
        <v>#N/A</v>
      </c>
      <c r="H88" s="93"/>
      <c r="I88" s="94"/>
      <c r="J88" s="142" t="s">
        <v>67</v>
      </c>
      <c r="K88" s="142" t="s">
        <v>77</v>
      </c>
      <c r="L88" s="143" t="b">
        <f>IF(K88="Finite end point","Continue to Column M",IF(K88="Five yearly time-step","Switch to Offset Model_5 yearly"))</f>
        <v>0</v>
      </c>
      <c r="M88" s="70"/>
      <c r="N88" s="70"/>
      <c r="O88" s="70"/>
      <c r="P88" s="4" t="str">
        <f t="shared" ref="P88:P91" si="8">IF(K88="Finite end point",IFERROR(IF(ISBLANK(O88),"",((IF($J88="Low confidence &gt;50% &lt;75%",(IF(N88&lt;$G88,N88/$G88,1)-IF(M88&lt;$G88,M88/$G88,1))*0.62,IF($J88="Confident 75-90%",(IF(N88&lt;$G88,N88/$G88,1)-IF(M88&lt;$G88,M88/$G88,1))*0.825,IF($J88="Very confident &gt;90%",(IF(N88&lt;$G88,N88/$G88,1)-IF(M88&lt;$G88,M88/$G88,1))*0.955)))))/(1+$E$11)^O88)*(I88),"Not calculated"),"Not calculated")</f>
        <v>Not calculated</v>
      </c>
      <c r="Q88" s="4" t="e">
        <f t="array" ref="Q88">INDEX('Impact Model'!$D$15:$L$340,MATCH(D88&amp;E88,'Impact Model'!$D$15:$D$340&amp;'Impact Model'!$E$15:$E$340,0),8)</f>
        <v>#N/A</v>
      </c>
      <c r="R88" s="4" t="str">
        <f>IF(K88="Choose option", "Not calculated",IF(K88="Finite end point",SUM(P88:Q88),IF(COUNTIF(#REF!,"&gt;=0")&lt;1,INDEX(#REF!,1,COUNT(#REF!)),INDEX(#REF!,1,MATCH(TRUE,INDEX(#REF!&gt;=0,1,0),)))))</f>
        <v>Not calculated</v>
      </c>
      <c r="S88" s="18"/>
      <c r="T88" s="3"/>
      <c r="AF88" s="13"/>
      <c r="AG88"/>
      <c r="BF88" s="13"/>
    </row>
    <row r="89" spans="2:58" ht="44.1" customHeight="1" thickBot="1">
      <c r="B89" s="19"/>
      <c r="C89" s="19"/>
      <c r="D89" s="11" t="str">
        <f>CONCATENATE($B87,"c")</f>
        <v>0.10c</v>
      </c>
      <c r="E89" s="21" t="e">
        <f>VLOOKUP(D89,'Impact Model'!$D$15:$L$340,2,FALSE)</f>
        <v>#N/A</v>
      </c>
      <c r="F89" s="21" t="e">
        <f t="array" ref="F89">INDEX('Impact Model'!$D$15:$F$340,MATCH(D89&amp;E89,'Impact Model'!$D$15:$D$340&amp;'Impact Model'!$E$15:$E$340,0),3)</f>
        <v>#N/A</v>
      </c>
      <c r="G89" s="21" t="e">
        <f t="array" ref="G89">INDEX('Impact Model'!$D$15:$H$340,MATCH(D89&amp;E89,'Impact Model'!$D$15:$D$340&amp;'Impact Model'!$E$15:$E$340,0),5)</f>
        <v>#N/A</v>
      </c>
      <c r="H89" s="93"/>
      <c r="I89" s="94"/>
      <c r="J89" s="142" t="s">
        <v>67</v>
      </c>
      <c r="K89" s="142" t="s">
        <v>77</v>
      </c>
      <c r="L89" s="143" t="b">
        <f>IF(K89="Finite end point","Continue to Column M",IF(K89="Five yearly time-step","Switch to Offset Model_5 yearly"))</f>
        <v>0</v>
      </c>
      <c r="M89" s="70"/>
      <c r="N89" s="70"/>
      <c r="O89" s="70"/>
      <c r="P89" s="4" t="str">
        <f t="shared" si="8"/>
        <v>Not calculated</v>
      </c>
      <c r="Q89" s="4" t="e">
        <f t="array" ref="Q89">INDEX('Impact Model'!$D$15:$L$340,MATCH(D89&amp;E89,'Impact Model'!$D$15:$D$340&amp;'Impact Model'!$E$15:$E$340,0),8)</f>
        <v>#N/A</v>
      </c>
      <c r="R89" s="4" t="str">
        <f>IF(K89="Choose option", "Not calculated",IF(K89="Finite end point",SUM(P89:Q89),IF(COUNTIF(#REF!,"&gt;=0")&lt;1,INDEX(#REF!,1,COUNT(#REF!)),INDEX(#REF!,1,MATCH(TRUE,INDEX(#REF!&gt;=0,1,0),)))))</f>
        <v>Not calculated</v>
      </c>
      <c r="S89" s="18"/>
      <c r="T89" s="121"/>
      <c r="AF89" s="13"/>
      <c r="AG89"/>
      <c r="BF89" s="13"/>
    </row>
    <row r="90" spans="2:58" ht="44.1" customHeight="1" thickBot="1">
      <c r="B90" s="19"/>
      <c r="C90" s="19"/>
      <c r="D90" s="11" t="str">
        <f>CONCATENATE($B87,"d")</f>
        <v>0.10d</v>
      </c>
      <c r="E90" s="21" t="e">
        <f>VLOOKUP(D90,'Impact Model'!$D$15:$L$340,2,FALSE)</f>
        <v>#N/A</v>
      </c>
      <c r="F90" s="21" t="e">
        <f t="array" ref="F90">INDEX('Impact Model'!$D$15:$F$340,MATCH(D90&amp;E90,'Impact Model'!$D$15:$D$340&amp;'Impact Model'!$E$15:$E$340,0),3)</f>
        <v>#N/A</v>
      </c>
      <c r="G90" s="21" t="e">
        <f t="array" ref="G90">INDEX('Impact Model'!$D$15:$H$340,MATCH(D90&amp;E90,'Impact Model'!$D$15:$D$340&amp;'Impact Model'!$E$15:$E$340,0),5)</f>
        <v>#N/A</v>
      </c>
      <c r="H90" s="93"/>
      <c r="I90" s="94"/>
      <c r="J90" s="142" t="s">
        <v>67</v>
      </c>
      <c r="K90" s="142" t="s">
        <v>77</v>
      </c>
      <c r="L90" s="143" t="b">
        <f>IF(K90="Finite end point","Continue to Column M",IF(K90="Five yearly time-step","Switch to Offset Model_5 yearly"))</f>
        <v>0</v>
      </c>
      <c r="M90" s="70"/>
      <c r="N90" s="70"/>
      <c r="O90" s="70"/>
      <c r="P90" s="4" t="str">
        <f t="shared" si="8"/>
        <v>Not calculated</v>
      </c>
      <c r="Q90" s="4" t="e">
        <f t="array" ref="Q90">INDEX('Impact Model'!$D$15:$L$340,MATCH(D90&amp;E90,'Impact Model'!$D$15:$D$340&amp;'Impact Model'!$E$15:$E$340,0),8)</f>
        <v>#N/A</v>
      </c>
      <c r="R90" s="4" t="str">
        <f>IF(K90="Choose option", "Not calculated",IF(K90="Finite end point",SUM(P90:Q90),IF(COUNTIF(#REF!,"&gt;=0")&lt;1,INDEX(#REF!,1,COUNT(#REF!)),INDEX(#REF!,1,MATCH(TRUE,INDEX(#REF!&gt;=0,1,0),)))))</f>
        <v>Not calculated</v>
      </c>
      <c r="S90" s="18"/>
      <c r="T90" s="3"/>
      <c r="AF90" s="13"/>
      <c r="AG90"/>
      <c r="BF90" s="13"/>
    </row>
    <row r="91" spans="2:58" ht="44.1" customHeight="1" thickBot="1">
      <c r="B91" s="19"/>
      <c r="C91" s="19"/>
      <c r="D91" s="11" t="str">
        <f>CONCATENATE($B87,"e")</f>
        <v>0.10e</v>
      </c>
      <c r="E91" s="21" t="e">
        <f>VLOOKUP(D91,'Impact Model'!$D$15:$L$340,2,FALSE)</f>
        <v>#N/A</v>
      </c>
      <c r="F91" s="21" t="e">
        <f t="array" ref="F91">INDEX('Impact Model'!$D$15:$F$340,MATCH(D91&amp;E91,'Impact Model'!$D$15:$D$340&amp;'Impact Model'!$E$15:$E$340,0),3)</f>
        <v>#N/A</v>
      </c>
      <c r="G91" s="21" t="e">
        <f t="array" ref="G91">INDEX('Impact Model'!$D$15:$H$340,MATCH(D91&amp;E91,'Impact Model'!$D$15:$D$340&amp;'Impact Model'!$E$15:$E$340,0),5)</f>
        <v>#N/A</v>
      </c>
      <c r="H91" s="93"/>
      <c r="I91" s="94"/>
      <c r="J91" s="142" t="s">
        <v>67</v>
      </c>
      <c r="K91" s="142" t="s">
        <v>77</v>
      </c>
      <c r="L91" s="143" t="b">
        <f>IF(K91="Finite end point","Continue to Column M",IF(K91="Five yearly time-step","Switch to Offset Model_5 yearly"))</f>
        <v>0</v>
      </c>
      <c r="M91" s="70"/>
      <c r="N91" s="70"/>
      <c r="O91" s="70"/>
      <c r="P91" s="4" t="str">
        <f t="shared" si="8"/>
        <v>Not calculated</v>
      </c>
      <c r="Q91" s="4" t="e">
        <f t="array" ref="Q91">INDEX('Impact Model'!$D$15:$L$340,MATCH(D91&amp;E91,'Impact Model'!$D$15:$D$340&amp;'Impact Model'!$E$15:$E$340,0),8)</f>
        <v>#N/A</v>
      </c>
      <c r="R91" s="4" t="str">
        <f>IF(K91="Choose option", "Not calculated",IF(K91="Finite end point",SUM(P91:Q91),IF(COUNTIF(#REF!,"&gt;=0")&lt;1,INDEX(#REF!,1,COUNT(#REF!)),INDEX(#REF!,1,MATCH(TRUE,INDEX(#REF!&gt;=0,1,0),)))))</f>
        <v>Not calculated</v>
      </c>
      <c r="S91" s="18"/>
      <c r="T91" s="3"/>
      <c r="AF91" s="13"/>
      <c r="AG91"/>
      <c r="BF91" s="13"/>
    </row>
    <row r="92" spans="2:58" ht="15.95" customHeight="1" thickBot="1"/>
    <row r="93" spans="2:58" s="60" customFormat="1" ht="108" customHeight="1">
      <c r="B93" s="12"/>
      <c r="C93" s="184" t="s">
        <v>47</v>
      </c>
      <c r="D93" s="185"/>
      <c r="E93" s="185"/>
      <c r="F93" s="185"/>
      <c r="G93" s="186"/>
      <c r="H93" s="184" t="s">
        <v>62</v>
      </c>
      <c r="I93" s="185"/>
      <c r="J93" s="186"/>
      <c r="K93" s="187" t="s">
        <v>44</v>
      </c>
      <c r="L93" s="188"/>
      <c r="M93" s="184" t="s">
        <v>78</v>
      </c>
      <c r="N93" s="185"/>
      <c r="O93" s="185"/>
      <c r="P93" s="185"/>
      <c r="Q93" s="185"/>
      <c r="R93" s="186"/>
      <c r="T93" s="154" t="s">
        <v>50</v>
      </c>
      <c r="AG93" s="27"/>
      <c r="BF93" s="68"/>
    </row>
    <row r="94" spans="2:58" s="60" customFormat="1" ht="62.1" customHeight="1" thickBot="1">
      <c r="C94" s="147" t="s">
        <v>4</v>
      </c>
      <c r="D94" s="191" t="s">
        <v>5</v>
      </c>
      <c r="E94" s="192"/>
      <c r="F94" s="34" t="s">
        <v>27</v>
      </c>
      <c r="G94" s="69" t="s">
        <v>33</v>
      </c>
      <c r="H94" s="33" t="s">
        <v>59</v>
      </c>
      <c r="I94" s="34" t="s">
        <v>20</v>
      </c>
      <c r="J94" s="22" t="s">
        <v>25</v>
      </c>
      <c r="K94" s="189"/>
      <c r="L94" s="190"/>
      <c r="M94" s="148" t="s">
        <v>84</v>
      </c>
      <c r="N94" s="148" t="s">
        <v>85</v>
      </c>
      <c r="O94" s="33" t="s">
        <v>45</v>
      </c>
      <c r="P94" s="34" t="s">
        <v>129</v>
      </c>
      <c r="Q94" s="35" t="s">
        <v>131</v>
      </c>
      <c r="R94" s="69" t="s">
        <v>51</v>
      </c>
      <c r="S94" s="15"/>
      <c r="T94" s="97" t="s">
        <v>52</v>
      </c>
      <c r="AF94" s="15"/>
      <c r="AG94" s="27"/>
      <c r="BF94" s="15"/>
    </row>
    <row r="95" spans="2:58" s="60" customFormat="1" ht="44.1" customHeight="1" thickBot="1">
      <c r="B95" s="11" t="str">
        <f>CONCATENATE($B$11+0.11)</f>
        <v>0.11</v>
      </c>
      <c r="C95" s="21">
        <f>VLOOKUP(B95,'Impact Model'!$B$15:$L$340,2,FALSE)</f>
        <v>0</v>
      </c>
      <c r="D95" s="11" t="str">
        <f>CONCATENATE($B95,"a")</f>
        <v>0.11a</v>
      </c>
      <c r="E95" s="21">
        <f>VLOOKUP(D95,'Impact Model'!$D$15:$L$340,2,FALSE)</f>
        <v>0</v>
      </c>
      <c r="F95" s="21" t="e">
        <f t="array" ref="F95">INDEX('Impact Model'!$D$15:$F$340,MATCH(D95&amp;E95,'Impact Model'!$D$15:$D$340&amp;'Impact Model'!$E$15:$E$340,0),3)</f>
        <v>#N/A</v>
      </c>
      <c r="G95" s="21" t="e">
        <f t="array" ref="G95">INDEX('Impact Model'!$D$15:$H$340,MATCH(D95&amp;E95,'Impact Model'!$D$15:$D$340&amp;'Impact Model'!$E$15:$E$340,0),5)</f>
        <v>#N/A</v>
      </c>
      <c r="H95" s="93"/>
      <c r="I95" s="94"/>
      <c r="J95" s="142" t="s">
        <v>67</v>
      </c>
      <c r="K95" s="142" t="s">
        <v>77</v>
      </c>
      <c r="L95" s="143" t="b">
        <f>IF(K95="Finite end point","Continue to Column M",IF(K95="Five yearly time-step","Switch to Offset Model_5 yearly"))</f>
        <v>0</v>
      </c>
      <c r="M95" s="70"/>
      <c r="N95" s="70"/>
      <c r="O95" s="70"/>
      <c r="P95" s="4" t="str">
        <f>IF(K95="Finite end point",IFERROR(IF(ISBLANK(O95),"",((IF($J95="Low confidence &gt;50% &lt;75%",(IF(N95&lt;$G95,N95/$G95,1)-IF(M95&lt;$G95,M95/$G95,1))*0.62,IF($J95="Confident 75-90%",(IF(N95&lt;$G95,N95/$G95,1)-IF(M95&lt;$G95,M95/$G95,1))*0.825,IF($J95="Very confident &gt;90%",(IF(N95&lt;$G95,N95/$G95,1)-IF(M95&lt;$G95,M95/$G95,1))*0.955)))))/(1+$E$11)^O95)*(I95),"Not calculated"),"Not calculated")</f>
        <v>Not calculated</v>
      </c>
      <c r="Q95" s="4" t="e">
        <f t="array" ref="Q95">INDEX('Impact Model'!$D$15:$L$340,MATCH(D95&amp;E95,'Impact Model'!$D$15:$D$340&amp;'Impact Model'!$E$15:$E$340,0),8)</f>
        <v>#N/A</v>
      </c>
      <c r="R95" s="4" t="str">
        <f>IF(K95="Choose option", "Not calculated",IF(K95="Finite end point",SUM(P95:Q95),IF(COUNTIF(#REF!,"&gt;=0")&lt;1,INDEX(#REF!,1,COUNT(#REF!)),INDEX(#REF!,1,MATCH(TRUE,INDEX(#REF!&gt;=0,1,0),)))))</f>
        <v>Not calculated</v>
      </c>
      <c r="S95" s="16"/>
      <c r="T95" s="4" t="str">
        <f>IF(R95="Not calculated","Not calculated",SUM(R95:R99)/ROUND(COUNTIF(R95:R99,"&gt;0")+COUNTIF(R95:R99,"&lt;0"),0))</f>
        <v>Not calculated</v>
      </c>
      <c r="U95" s="113"/>
      <c r="AF95" s="32"/>
      <c r="AG95" s="27"/>
      <c r="BF95" s="32"/>
    </row>
    <row r="96" spans="2:58" ht="44.1" customHeight="1" thickBot="1">
      <c r="B96" s="17"/>
      <c r="C96" s="17"/>
      <c r="D96" s="11" t="str">
        <f>CONCATENATE($B95,"b")</f>
        <v>0.11b</v>
      </c>
      <c r="E96" s="21">
        <f>VLOOKUP(D96,'Impact Model'!$D$15:$L$340,2,FALSE)</f>
        <v>0</v>
      </c>
      <c r="F96" s="21" t="e">
        <f t="array" ref="F96">INDEX('Impact Model'!$D$15:$F$340,MATCH(D96&amp;E96,'Impact Model'!$D$15:$D$340&amp;'Impact Model'!$E$15:$E$340,0),3)</f>
        <v>#N/A</v>
      </c>
      <c r="G96" s="21" t="e">
        <f t="array" ref="G96">INDEX('Impact Model'!$D$15:$H$340,MATCH(D96&amp;E96,'Impact Model'!$D$15:$D$340&amp;'Impact Model'!$E$15:$E$340,0),5)</f>
        <v>#N/A</v>
      </c>
      <c r="H96" s="93"/>
      <c r="I96" s="94"/>
      <c r="J96" s="142" t="s">
        <v>67</v>
      </c>
      <c r="K96" s="142" t="s">
        <v>77</v>
      </c>
      <c r="L96" s="143" t="b">
        <f>IF(K96="Finite end point","Continue to Column M",IF(K96="Five yearly time-step","Switch to Offset Model_5 yearly"))</f>
        <v>0</v>
      </c>
      <c r="M96" s="70"/>
      <c r="N96" s="70"/>
      <c r="O96" s="70"/>
      <c r="P96" s="4" t="str">
        <f t="shared" ref="P96:P99" si="9">IF(K96="Finite end point",IFERROR(IF(ISBLANK(O96),"",((IF($J96="Low confidence &gt;50% &lt;75%",(IF(N96&lt;$G96,N96/$G96,1)-IF(M96&lt;$G96,M96/$G96,1))*0.62,IF($J96="Confident 75-90%",(IF(N96&lt;$G96,N96/$G96,1)-IF(M96&lt;$G96,M96/$G96,1))*0.825,IF($J96="Very confident &gt;90%",(IF(N96&lt;$G96,N96/$G96,1)-IF(M96&lt;$G96,M96/$G96,1))*0.955)))))/(1+$E$11)^O96)*(I96),"Not calculated"),"Not calculated")</f>
        <v>Not calculated</v>
      </c>
      <c r="Q96" s="4" t="e">
        <f t="array" ref="Q96">INDEX('Impact Model'!$D$15:$L$340,MATCH(D96&amp;E96,'Impact Model'!$D$15:$D$340&amp;'Impact Model'!$E$15:$E$340,0),8)</f>
        <v>#N/A</v>
      </c>
      <c r="R96" s="4" t="str">
        <f>IF(K96="Choose option", "Not calculated",IF(K96="Finite end point",SUM(P96:Q96),IF(COUNTIF(#REF!,"&gt;=0")&lt;1,INDEX(#REF!,1,COUNT(#REF!)),INDEX(#REF!,1,MATCH(TRUE,INDEX(#REF!&gt;=0,1,0),)))))</f>
        <v>Not calculated</v>
      </c>
      <c r="S96" s="18"/>
      <c r="T96" s="3"/>
      <c r="AF96" s="13"/>
      <c r="AG96"/>
      <c r="BF96" s="13"/>
    </row>
    <row r="97" spans="2:58" ht="44.1" customHeight="1" thickBot="1">
      <c r="B97" s="19"/>
      <c r="C97" s="19"/>
      <c r="D97" s="11" t="str">
        <f>CONCATENATE($B95,"c")</f>
        <v>0.11c</v>
      </c>
      <c r="E97" s="21">
        <f>VLOOKUP(D97,'Impact Model'!$D$15:$L$340,2,FALSE)</f>
        <v>0</v>
      </c>
      <c r="F97" s="21" t="e">
        <f t="array" ref="F97">INDEX('Impact Model'!$D$15:$F$340,MATCH(D97&amp;E97,'Impact Model'!$D$15:$D$340&amp;'Impact Model'!$E$15:$E$340,0),3)</f>
        <v>#N/A</v>
      </c>
      <c r="G97" s="21" t="e">
        <f t="array" ref="G97">INDEX('Impact Model'!$D$15:$H$340,MATCH(D97&amp;E97,'Impact Model'!$D$15:$D$340&amp;'Impact Model'!$E$15:$E$340,0),5)</f>
        <v>#N/A</v>
      </c>
      <c r="H97" s="93"/>
      <c r="I97" s="94"/>
      <c r="J97" s="142" t="s">
        <v>67</v>
      </c>
      <c r="K97" s="142" t="s">
        <v>77</v>
      </c>
      <c r="L97" s="143" t="b">
        <f>IF(K97="Finite end point","Continue to Column M",IF(K97="Five yearly time-step","Switch to Offset Model_5 yearly"))</f>
        <v>0</v>
      </c>
      <c r="M97" s="70"/>
      <c r="N97" s="70"/>
      <c r="O97" s="70"/>
      <c r="P97" s="4" t="str">
        <f t="shared" si="9"/>
        <v>Not calculated</v>
      </c>
      <c r="Q97" s="4" t="e">
        <f t="array" ref="Q97">INDEX('Impact Model'!$D$15:$L$340,MATCH(D97&amp;E97,'Impact Model'!$D$15:$D$340&amp;'Impact Model'!$E$15:$E$340,0),8)</f>
        <v>#N/A</v>
      </c>
      <c r="R97" s="4" t="str">
        <f>IF(K97="Choose option", "Not calculated",IF(K97="Finite end point",SUM(P97:Q97),IF(COUNTIF(#REF!,"&gt;=0")&lt;1,INDEX(#REF!,1,COUNT(#REF!)),INDEX(#REF!,1,MATCH(TRUE,INDEX(#REF!&gt;=0,1,0),)))))</f>
        <v>Not calculated</v>
      </c>
      <c r="S97" s="18"/>
      <c r="T97" s="121"/>
      <c r="AF97" s="13"/>
      <c r="AG97"/>
      <c r="BF97" s="13"/>
    </row>
    <row r="98" spans="2:58" ht="44.1" customHeight="1" thickBot="1">
      <c r="B98" s="19"/>
      <c r="C98" s="19"/>
      <c r="D98" s="11" t="str">
        <f>CONCATENATE($B95,"d")</f>
        <v>0.11d</v>
      </c>
      <c r="E98" s="21">
        <f>VLOOKUP(D98,'Impact Model'!$D$15:$L$340,2,FALSE)</f>
        <v>0</v>
      </c>
      <c r="F98" s="21" t="e">
        <f t="array" ref="F98">INDEX('Impact Model'!$D$15:$F$340,MATCH(D98&amp;E98,'Impact Model'!$D$15:$D$340&amp;'Impact Model'!$E$15:$E$340,0),3)</f>
        <v>#N/A</v>
      </c>
      <c r="G98" s="21" t="e">
        <f t="array" ref="G98">INDEX('Impact Model'!$D$15:$H$340,MATCH(D98&amp;E98,'Impact Model'!$D$15:$D$340&amp;'Impact Model'!$E$15:$E$340,0),5)</f>
        <v>#N/A</v>
      </c>
      <c r="H98" s="93"/>
      <c r="I98" s="94"/>
      <c r="J98" s="142" t="s">
        <v>67</v>
      </c>
      <c r="K98" s="142" t="s">
        <v>77</v>
      </c>
      <c r="L98" s="143" t="b">
        <f>IF(K98="Finite end point","Continue to Column M",IF(K98="Five yearly time-step","Switch to Offset Model_5 yearly"))</f>
        <v>0</v>
      </c>
      <c r="M98" s="70"/>
      <c r="N98" s="70"/>
      <c r="O98" s="70"/>
      <c r="P98" s="4" t="str">
        <f t="shared" si="9"/>
        <v>Not calculated</v>
      </c>
      <c r="Q98" s="4" t="e">
        <f t="array" ref="Q98">INDEX('Impact Model'!$D$15:$L$340,MATCH(D98&amp;E98,'Impact Model'!$D$15:$D$340&amp;'Impact Model'!$E$15:$E$340,0),8)</f>
        <v>#N/A</v>
      </c>
      <c r="R98" s="4" t="str">
        <f>IF(K98="Choose option", "Not calculated",IF(K98="Finite end point",SUM(P98:Q98),IF(COUNTIF(#REF!,"&gt;=0")&lt;1,INDEX(#REF!,1,COUNT(#REF!)),INDEX(#REF!,1,MATCH(TRUE,INDEX(#REF!&gt;=0,1,0),)))))</f>
        <v>Not calculated</v>
      </c>
      <c r="S98" s="18"/>
      <c r="T98" s="3"/>
      <c r="AF98" s="13"/>
      <c r="AG98"/>
      <c r="BF98" s="13"/>
    </row>
    <row r="99" spans="2:58" ht="44.1" customHeight="1" thickBot="1">
      <c r="B99" s="19"/>
      <c r="C99" s="19"/>
      <c r="D99" s="11" t="str">
        <f>CONCATENATE($B95,"e")</f>
        <v>0.11e</v>
      </c>
      <c r="E99" s="21">
        <f>VLOOKUP(D99,'Impact Model'!$D$15:$L$340,2,FALSE)</f>
        <v>0</v>
      </c>
      <c r="F99" s="21" t="e">
        <f t="array" ref="F99">INDEX('Impact Model'!$D$15:$F$340,MATCH(D99&amp;E99,'Impact Model'!$D$15:$D$340&amp;'Impact Model'!$E$15:$E$340,0),3)</f>
        <v>#N/A</v>
      </c>
      <c r="G99" s="21" t="e">
        <f t="array" ref="G99">INDEX('Impact Model'!$D$15:$H$340,MATCH(D99&amp;E99,'Impact Model'!$D$15:$D$340&amp;'Impact Model'!$E$15:$E$340,0),5)</f>
        <v>#N/A</v>
      </c>
      <c r="H99" s="93"/>
      <c r="I99" s="94"/>
      <c r="J99" s="142" t="s">
        <v>67</v>
      </c>
      <c r="K99" s="142" t="s">
        <v>77</v>
      </c>
      <c r="L99" s="143" t="b">
        <f>IF(K99="Finite end point","Continue to Column M",IF(K99="Five yearly time-step","Switch to Offset Model_5 yearly"))</f>
        <v>0</v>
      </c>
      <c r="M99" s="70"/>
      <c r="N99" s="70"/>
      <c r="O99" s="70"/>
      <c r="P99" s="4" t="str">
        <f t="shared" si="9"/>
        <v>Not calculated</v>
      </c>
      <c r="Q99" s="4" t="e">
        <f t="array" ref="Q99">INDEX('Impact Model'!$D$15:$L$340,MATCH(D99&amp;E99,'Impact Model'!$D$15:$D$340&amp;'Impact Model'!$E$15:$E$340,0),8)</f>
        <v>#N/A</v>
      </c>
      <c r="R99" s="4" t="str">
        <f>IF(K99="Choose option", "Not calculated",IF(K99="Finite end point",SUM(P99:Q99),IF(COUNTIF(#REF!,"&gt;=0")&lt;1,INDEX(#REF!,1,COUNT(#REF!)),INDEX(#REF!,1,MATCH(TRUE,INDEX(#REF!&gt;=0,1,0),)))))</f>
        <v>Not calculated</v>
      </c>
      <c r="S99" s="18"/>
      <c r="T99" s="3"/>
      <c r="AF99" s="13"/>
      <c r="AG99"/>
      <c r="BF99" s="13"/>
    </row>
    <row r="100" spans="2:58" ht="15.95" customHeight="1" thickBot="1"/>
    <row r="101" spans="2:58" s="60" customFormat="1" ht="108" customHeight="1">
      <c r="B101" s="12"/>
      <c r="C101" s="184" t="s">
        <v>47</v>
      </c>
      <c r="D101" s="185"/>
      <c r="E101" s="185"/>
      <c r="F101" s="185"/>
      <c r="G101" s="186"/>
      <c r="H101" s="184" t="s">
        <v>62</v>
      </c>
      <c r="I101" s="185"/>
      <c r="J101" s="186"/>
      <c r="K101" s="187" t="s">
        <v>44</v>
      </c>
      <c r="L101" s="188"/>
      <c r="M101" s="184" t="s">
        <v>78</v>
      </c>
      <c r="N101" s="185"/>
      <c r="O101" s="185"/>
      <c r="P101" s="185"/>
      <c r="Q101" s="185"/>
      <c r="R101" s="186"/>
      <c r="T101" s="154" t="s">
        <v>50</v>
      </c>
      <c r="AG101" s="27"/>
      <c r="BF101" s="68"/>
    </row>
    <row r="102" spans="2:58" s="60" customFormat="1" ht="62.1" customHeight="1" thickBot="1">
      <c r="C102" s="147" t="s">
        <v>4</v>
      </c>
      <c r="D102" s="191" t="s">
        <v>5</v>
      </c>
      <c r="E102" s="192"/>
      <c r="F102" s="34" t="s">
        <v>27</v>
      </c>
      <c r="G102" s="69" t="s">
        <v>33</v>
      </c>
      <c r="H102" s="33" t="s">
        <v>59</v>
      </c>
      <c r="I102" s="34" t="s">
        <v>20</v>
      </c>
      <c r="J102" s="22" t="s">
        <v>25</v>
      </c>
      <c r="K102" s="189"/>
      <c r="L102" s="190"/>
      <c r="M102" s="148" t="s">
        <v>84</v>
      </c>
      <c r="N102" s="148" t="s">
        <v>85</v>
      </c>
      <c r="O102" s="33" t="s">
        <v>45</v>
      </c>
      <c r="P102" s="34" t="s">
        <v>129</v>
      </c>
      <c r="Q102" s="35" t="s">
        <v>131</v>
      </c>
      <c r="R102" s="69" t="s">
        <v>51</v>
      </c>
      <c r="S102" s="15"/>
      <c r="T102" s="97" t="s">
        <v>52</v>
      </c>
      <c r="AF102" s="15"/>
      <c r="AG102" s="27"/>
      <c r="BF102" s="15"/>
    </row>
    <row r="103" spans="2:58" s="60" customFormat="1" ht="44.1" customHeight="1" thickBot="1">
      <c r="B103" s="11" t="str">
        <f>CONCATENATE($B$11+0.12)</f>
        <v>0.12</v>
      </c>
      <c r="C103" s="21">
        <f>VLOOKUP(B103,'Impact Model'!$B$15:$L$340,2,FALSE)</f>
        <v>0</v>
      </c>
      <c r="D103" s="11" t="str">
        <f>CONCATENATE($B103,"a")</f>
        <v>0.12a</v>
      </c>
      <c r="E103" s="21">
        <f>VLOOKUP(D103,'Impact Model'!$D$15:$L$340,2,FALSE)</f>
        <v>0</v>
      </c>
      <c r="F103" s="21" t="e">
        <f t="array" ref="F103">INDEX('Impact Model'!$D$15:$F$340,MATCH(D103&amp;E103,'Impact Model'!$D$15:$D$340&amp;'Impact Model'!$E$15:$E$340,0),3)</f>
        <v>#N/A</v>
      </c>
      <c r="G103" s="21" t="e">
        <f t="array" ref="G103">INDEX('Impact Model'!$D$15:$H$340,MATCH(D103&amp;E103,'Impact Model'!$D$15:$D$340&amp;'Impact Model'!$E$15:$E$340,0),5)</f>
        <v>#N/A</v>
      </c>
      <c r="H103" s="93"/>
      <c r="I103" s="94"/>
      <c r="J103" s="142" t="s">
        <v>67</v>
      </c>
      <c r="K103" s="142" t="s">
        <v>77</v>
      </c>
      <c r="L103" s="143" t="b">
        <f>IF(K103="Finite end point","Continue to Column M",IF(K103="Five yearly time-step","Switch to Offset Model_5 yearly"))</f>
        <v>0</v>
      </c>
      <c r="M103" s="70"/>
      <c r="N103" s="70"/>
      <c r="O103" s="70"/>
      <c r="P103" s="4" t="str">
        <f>IF(K103="Finite end point",IFERROR(IF(ISBLANK(O103),"",((IF($J103="Low confidence &gt;50% &lt;75%",(IF(N103&lt;$G103,N103/$G103,1)-IF(M103&lt;$G103,M103/$G103,1))*0.62,IF($J103="Confident 75-90%",(IF(N103&lt;$G103,N103/$G103,1)-IF(M103&lt;$G103,M103/$G103,1))*0.825,IF($J103="Very confident &gt;90%",(IF(N103&lt;$G103,N103/$G103,1)-IF(M103&lt;$G103,M103/$G103,1))*0.955)))))/(1+$E$11)^O103)*(I103),"Not calculated"),"Not calculated")</f>
        <v>Not calculated</v>
      </c>
      <c r="Q103" s="4" t="e">
        <f t="array" ref="Q103">INDEX('Impact Model'!$D$15:$L$340,MATCH(D103&amp;E103,'Impact Model'!$D$15:$D$340&amp;'Impact Model'!$E$15:$E$340,0),8)</f>
        <v>#N/A</v>
      </c>
      <c r="R103" s="4" t="str">
        <f>IF(K103="Choose option", "Not calculated",IF(K103="Finite end point",SUM(P103:Q103),IF(COUNTIF(#REF!,"&gt;=0")&lt;1,INDEX(#REF!,1,COUNT(#REF!)),INDEX(#REF!,1,MATCH(TRUE,INDEX(#REF!&gt;=0,1,0),)))))</f>
        <v>Not calculated</v>
      </c>
      <c r="S103" s="16"/>
      <c r="T103" s="4" t="str">
        <f>IF(R103="Not calculated","Not calculated",SUM(R103:R107)/ROUND(COUNTIF(R103:R107,"&gt;0")+COUNTIF(R103:R107,"&lt;0"),0))</f>
        <v>Not calculated</v>
      </c>
      <c r="U103" s="113"/>
      <c r="AF103" s="32"/>
      <c r="AG103" s="27"/>
      <c r="BF103" s="32"/>
    </row>
    <row r="104" spans="2:58" ht="44.1" customHeight="1" thickBot="1">
      <c r="B104" s="17"/>
      <c r="C104" s="17"/>
      <c r="D104" s="11" t="str">
        <f>CONCATENATE($B103,"b")</f>
        <v>0.12b</v>
      </c>
      <c r="E104" s="21">
        <f>VLOOKUP(D104,'Impact Model'!$D$15:$L$340,2,FALSE)</f>
        <v>0</v>
      </c>
      <c r="F104" s="21" t="e">
        <f t="array" ref="F104">INDEX('Impact Model'!$D$15:$F$340,MATCH(D104&amp;E104,'Impact Model'!$D$15:$D$340&amp;'Impact Model'!$E$15:$E$340,0),3)</f>
        <v>#N/A</v>
      </c>
      <c r="G104" s="21" t="e">
        <f t="array" ref="G104">INDEX('Impact Model'!$D$15:$H$340,MATCH(D104&amp;E104,'Impact Model'!$D$15:$D$340&amp;'Impact Model'!$E$15:$E$340,0),5)</f>
        <v>#N/A</v>
      </c>
      <c r="H104" s="93"/>
      <c r="I104" s="94"/>
      <c r="J104" s="142" t="s">
        <v>67</v>
      </c>
      <c r="K104" s="142" t="s">
        <v>77</v>
      </c>
      <c r="L104" s="143" t="b">
        <f>IF(K104="Finite end point","Continue to Column M",IF(K104="Five yearly time-step","Switch to Offset Model_5 yearly"))</f>
        <v>0</v>
      </c>
      <c r="M104" s="70"/>
      <c r="N104" s="70"/>
      <c r="O104" s="70"/>
      <c r="P104" s="4" t="str">
        <f t="shared" ref="P104:P107" si="10">IF(K104="Finite end point",IFERROR(IF(ISBLANK(O104),"",((IF($J104="Low confidence &gt;50% &lt;75%",(IF(N104&lt;$G104,N104/$G104,1)-IF(M104&lt;$G104,M104/$G104,1))*0.62,IF($J104="Confident 75-90%",(IF(N104&lt;$G104,N104/$G104,1)-IF(M104&lt;$G104,M104/$G104,1))*0.825,IF($J104="Very confident &gt;90%",(IF(N104&lt;$G104,N104/$G104,1)-IF(M104&lt;$G104,M104/$G104,1))*0.955)))))/(1+$E$11)^O104)*(I104),"Not calculated"),"Not calculated")</f>
        <v>Not calculated</v>
      </c>
      <c r="Q104" s="4" t="e">
        <f t="array" ref="Q104">INDEX('Impact Model'!$D$15:$L$340,MATCH(D104&amp;E104,'Impact Model'!$D$15:$D$340&amp;'Impact Model'!$E$15:$E$340,0),8)</f>
        <v>#N/A</v>
      </c>
      <c r="R104" s="4" t="str">
        <f>IF(K104="Choose option", "Not calculated",IF(K104="Finite end point",SUM(P104:Q104),IF(COUNTIF(#REF!,"&gt;=0")&lt;1,INDEX(#REF!,1,COUNT(#REF!)),INDEX(#REF!,1,MATCH(TRUE,INDEX(#REF!&gt;=0,1,0),)))))</f>
        <v>Not calculated</v>
      </c>
      <c r="S104" s="18"/>
      <c r="T104" s="3"/>
      <c r="AF104" s="13"/>
      <c r="AG104"/>
      <c r="BF104" s="13"/>
    </row>
    <row r="105" spans="2:58" ht="44.1" customHeight="1" thickBot="1">
      <c r="B105" s="19"/>
      <c r="C105" s="19"/>
      <c r="D105" s="11" t="str">
        <f>CONCATENATE($B103,"c")</f>
        <v>0.12c</v>
      </c>
      <c r="E105" s="21">
        <f>VLOOKUP(D105,'Impact Model'!$D$15:$L$340,2,FALSE)</f>
        <v>0</v>
      </c>
      <c r="F105" s="21" t="e">
        <f t="array" ref="F105">INDEX('Impact Model'!$D$15:$F$340,MATCH(D105&amp;E105,'Impact Model'!$D$15:$D$340&amp;'Impact Model'!$E$15:$E$340,0),3)</f>
        <v>#N/A</v>
      </c>
      <c r="G105" s="21" t="e">
        <f t="array" ref="G105">INDEX('Impact Model'!$D$15:$H$340,MATCH(D105&amp;E105,'Impact Model'!$D$15:$D$340&amp;'Impact Model'!$E$15:$E$340,0),5)</f>
        <v>#N/A</v>
      </c>
      <c r="H105" s="93"/>
      <c r="I105" s="94"/>
      <c r="J105" s="142" t="s">
        <v>67</v>
      </c>
      <c r="K105" s="142" t="s">
        <v>77</v>
      </c>
      <c r="L105" s="143" t="b">
        <f>IF(K105="Finite end point","Continue to Column M",IF(K105="Five yearly time-step","Switch to Offset Model_5 yearly"))</f>
        <v>0</v>
      </c>
      <c r="M105" s="70"/>
      <c r="N105" s="70"/>
      <c r="O105" s="70"/>
      <c r="P105" s="4" t="str">
        <f t="shared" si="10"/>
        <v>Not calculated</v>
      </c>
      <c r="Q105" s="4" t="e">
        <f t="array" ref="Q105">INDEX('Impact Model'!$D$15:$L$340,MATCH(D105&amp;E105,'Impact Model'!$D$15:$D$340&amp;'Impact Model'!$E$15:$E$340,0),8)</f>
        <v>#N/A</v>
      </c>
      <c r="R105" s="4" t="str">
        <f>IF(K105="Choose option", "Not calculated",IF(K105="Finite end point",SUM(P105:Q105),IF(COUNTIF(#REF!,"&gt;=0")&lt;1,INDEX(#REF!,1,COUNT(#REF!)),INDEX(#REF!,1,MATCH(TRUE,INDEX(#REF!&gt;=0,1,0),)))))</f>
        <v>Not calculated</v>
      </c>
      <c r="S105" s="18"/>
      <c r="T105" s="121"/>
      <c r="AF105" s="13"/>
      <c r="AG105"/>
      <c r="BF105" s="13"/>
    </row>
    <row r="106" spans="2:58" ht="44.1" customHeight="1" thickBot="1">
      <c r="B106" s="19"/>
      <c r="C106" s="19"/>
      <c r="D106" s="11" t="str">
        <f>CONCATENATE($B103,"d")</f>
        <v>0.12d</v>
      </c>
      <c r="E106" s="21">
        <f>VLOOKUP(D106,'Impact Model'!$D$15:$L$340,2,FALSE)</f>
        <v>0</v>
      </c>
      <c r="F106" s="21" t="e">
        <f t="array" ref="F106">INDEX('Impact Model'!$D$15:$F$340,MATCH(D106&amp;E106,'Impact Model'!$D$15:$D$340&amp;'Impact Model'!$E$15:$E$340,0),3)</f>
        <v>#N/A</v>
      </c>
      <c r="G106" s="21" t="e">
        <f t="array" ref="G106">INDEX('Impact Model'!$D$15:$H$340,MATCH(D106&amp;E106,'Impact Model'!$D$15:$D$340&amp;'Impact Model'!$E$15:$E$340,0),5)</f>
        <v>#N/A</v>
      </c>
      <c r="H106" s="93"/>
      <c r="I106" s="94"/>
      <c r="J106" s="142" t="s">
        <v>67</v>
      </c>
      <c r="K106" s="142" t="s">
        <v>77</v>
      </c>
      <c r="L106" s="143" t="b">
        <f>IF(K106="Finite end point","Continue to Column M",IF(K106="Five yearly time-step","Switch to Offset Model_5 yearly"))</f>
        <v>0</v>
      </c>
      <c r="M106" s="70"/>
      <c r="N106" s="70"/>
      <c r="O106" s="70"/>
      <c r="P106" s="4" t="str">
        <f t="shared" si="10"/>
        <v>Not calculated</v>
      </c>
      <c r="Q106" s="4" t="e">
        <f t="array" ref="Q106">INDEX('Impact Model'!$D$15:$L$340,MATCH(D106&amp;E106,'Impact Model'!$D$15:$D$340&amp;'Impact Model'!$E$15:$E$340,0),8)</f>
        <v>#N/A</v>
      </c>
      <c r="R106" s="4" t="str">
        <f>IF(K106="Choose option", "Not calculated",IF(K106="Finite end point",SUM(P106:Q106),IF(COUNTIF(#REF!,"&gt;=0")&lt;1,INDEX(#REF!,1,COUNT(#REF!)),INDEX(#REF!,1,MATCH(TRUE,INDEX(#REF!&gt;=0,1,0),)))))</f>
        <v>Not calculated</v>
      </c>
      <c r="S106" s="18"/>
      <c r="T106" s="3"/>
      <c r="AF106" s="13"/>
      <c r="AG106"/>
      <c r="BF106" s="13"/>
    </row>
    <row r="107" spans="2:58" ht="44.1" customHeight="1" thickBot="1">
      <c r="B107" s="19"/>
      <c r="C107" s="19"/>
      <c r="D107" s="11" t="str">
        <f>CONCATENATE($B103,"e")</f>
        <v>0.12e</v>
      </c>
      <c r="E107" s="21">
        <f>VLOOKUP(D107,'Impact Model'!$D$15:$L$340,2,FALSE)</f>
        <v>0</v>
      </c>
      <c r="F107" s="21" t="e">
        <f t="array" ref="F107">INDEX('Impact Model'!$D$15:$F$340,MATCH(D107&amp;E107,'Impact Model'!$D$15:$D$340&amp;'Impact Model'!$E$15:$E$340,0),3)</f>
        <v>#N/A</v>
      </c>
      <c r="G107" s="21" t="e">
        <f t="array" ref="G107">INDEX('Impact Model'!$D$15:$H$340,MATCH(D107&amp;E107,'Impact Model'!$D$15:$D$340&amp;'Impact Model'!$E$15:$E$340,0),5)</f>
        <v>#N/A</v>
      </c>
      <c r="H107" s="93"/>
      <c r="I107" s="94"/>
      <c r="J107" s="142" t="s">
        <v>67</v>
      </c>
      <c r="K107" s="142" t="s">
        <v>77</v>
      </c>
      <c r="L107" s="143" t="b">
        <f>IF(K107="Finite end point","Continue to Column M",IF(K107="Five yearly time-step","Switch to Offset Model_5 yearly"))</f>
        <v>0</v>
      </c>
      <c r="M107" s="70"/>
      <c r="N107" s="70"/>
      <c r="O107" s="70"/>
      <c r="P107" s="4" t="str">
        <f t="shared" si="10"/>
        <v>Not calculated</v>
      </c>
      <c r="Q107" s="4" t="e">
        <f t="array" ref="Q107">INDEX('Impact Model'!$D$15:$L$340,MATCH(D107&amp;E107,'Impact Model'!$D$15:$D$340&amp;'Impact Model'!$E$15:$E$340,0),8)</f>
        <v>#N/A</v>
      </c>
      <c r="R107" s="4" t="str">
        <f>IF(K107="Choose option", "Not calculated",IF(K107="Finite end point",SUM(P107:Q107),IF(COUNTIF(#REF!,"&gt;=0")&lt;1,INDEX(#REF!,1,COUNT(#REF!)),INDEX(#REF!,1,MATCH(TRUE,INDEX(#REF!&gt;=0,1,0),)))))</f>
        <v>Not calculated</v>
      </c>
      <c r="S107" s="18"/>
      <c r="T107" s="3"/>
      <c r="AF107" s="13"/>
      <c r="AG107"/>
      <c r="BF107" s="13"/>
    </row>
    <row r="108" spans="2:58" ht="15.95" customHeight="1" thickBot="1"/>
    <row r="109" spans="2:58" s="60" customFormat="1" ht="108" customHeight="1">
      <c r="B109" s="12"/>
      <c r="C109" s="184" t="s">
        <v>47</v>
      </c>
      <c r="D109" s="185"/>
      <c r="E109" s="185"/>
      <c r="F109" s="185"/>
      <c r="G109" s="186"/>
      <c r="H109" s="184" t="s">
        <v>62</v>
      </c>
      <c r="I109" s="185"/>
      <c r="J109" s="186"/>
      <c r="K109" s="187" t="s">
        <v>44</v>
      </c>
      <c r="L109" s="188"/>
      <c r="M109" s="184" t="s">
        <v>78</v>
      </c>
      <c r="N109" s="185"/>
      <c r="O109" s="185"/>
      <c r="P109" s="185"/>
      <c r="Q109" s="185"/>
      <c r="R109" s="186"/>
      <c r="T109" s="154" t="s">
        <v>50</v>
      </c>
      <c r="AG109" s="27"/>
      <c r="BF109" s="68"/>
    </row>
    <row r="110" spans="2:58" s="60" customFormat="1" ht="62.1" customHeight="1" thickBot="1">
      <c r="C110" s="147" t="s">
        <v>4</v>
      </c>
      <c r="D110" s="191" t="s">
        <v>5</v>
      </c>
      <c r="E110" s="192"/>
      <c r="F110" s="34" t="s">
        <v>27</v>
      </c>
      <c r="G110" s="69" t="s">
        <v>33</v>
      </c>
      <c r="H110" s="33" t="s">
        <v>59</v>
      </c>
      <c r="I110" s="34" t="s">
        <v>20</v>
      </c>
      <c r="J110" s="22" t="s">
        <v>25</v>
      </c>
      <c r="K110" s="189"/>
      <c r="L110" s="190"/>
      <c r="M110" s="148" t="s">
        <v>84</v>
      </c>
      <c r="N110" s="148" t="s">
        <v>85</v>
      </c>
      <c r="O110" s="33" t="s">
        <v>45</v>
      </c>
      <c r="P110" s="34" t="s">
        <v>129</v>
      </c>
      <c r="Q110" s="35" t="s">
        <v>130</v>
      </c>
      <c r="R110" s="69" t="s">
        <v>51</v>
      </c>
      <c r="S110" s="15"/>
      <c r="T110" s="97" t="s">
        <v>52</v>
      </c>
      <c r="AF110" s="15"/>
      <c r="AG110" s="27"/>
      <c r="BF110" s="15"/>
    </row>
    <row r="111" spans="2:58" s="60" customFormat="1" ht="44.1" customHeight="1" thickBot="1">
      <c r="B111" s="11" t="str">
        <f>CONCATENATE($B$11+0.13)</f>
        <v>0.13</v>
      </c>
      <c r="C111" s="21">
        <f>VLOOKUP(B111,'Impact Model'!$B$15:$L$340,2,FALSE)</f>
        <v>0</v>
      </c>
      <c r="D111" s="11" t="str">
        <f>CONCATENATE($B111,"a")</f>
        <v>0.13a</v>
      </c>
      <c r="E111" s="21">
        <f>VLOOKUP(D111,'Impact Model'!$D$15:$L$340,2,FALSE)</f>
        <v>0</v>
      </c>
      <c r="F111" s="21" t="e">
        <f t="array" ref="F111">INDEX('Impact Model'!$D$15:$F$340,MATCH(D111&amp;E111,'Impact Model'!$D$15:$D$340&amp;'Impact Model'!$E$15:$E$340,0),3)</f>
        <v>#N/A</v>
      </c>
      <c r="G111" s="21" t="e">
        <f t="array" ref="G111">INDEX('Impact Model'!$D$15:$H$340,MATCH(D111&amp;E111,'Impact Model'!$D$15:$D$340&amp;'Impact Model'!$E$15:$E$340,0),5)</f>
        <v>#N/A</v>
      </c>
      <c r="H111" s="93"/>
      <c r="I111" s="94"/>
      <c r="J111" s="142" t="s">
        <v>67</v>
      </c>
      <c r="K111" s="142" t="s">
        <v>77</v>
      </c>
      <c r="L111" s="143" t="b">
        <f>IF(K111="Finite end point","Continue to Column M",IF(K111="Five yearly time-step","Switch to Offset Model_5 yearly"))</f>
        <v>0</v>
      </c>
      <c r="M111" s="70"/>
      <c r="N111" s="70"/>
      <c r="O111" s="70"/>
      <c r="P111" s="4" t="str">
        <f>IF(K111="Finite end point",IFERROR(IF(ISBLANK(O111),"",((IF($J111="Low confidence &gt;50% &lt;75%",(IF(N111&lt;$G111,N111/$G111,1)-IF(M111&lt;$G111,M111/$G111,1))*0.62,IF($J111="Confident 75-90%",(IF(N111&lt;$G111,N111/$G111,1)-IF(M111&lt;$G111,M111/$G111,1))*0.825,IF($J111="Very confident &gt;90%",(IF(N111&lt;$G111,N111/$G111,1)-IF(M111&lt;$G111,M111/$G111,1))*0.955)))))/(1+$E$11)^O111)*(I111),"Not calculated"),"Not calculated")</f>
        <v>Not calculated</v>
      </c>
      <c r="Q111" s="4" t="e">
        <f t="array" ref="Q111">INDEX('Impact Model'!$D$15:$L$340,MATCH(D111&amp;E111,'Impact Model'!$D$15:$D$340&amp;'Impact Model'!$E$15:$E$340,0),8)</f>
        <v>#N/A</v>
      </c>
      <c r="R111" s="4" t="str">
        <f>IF(K111="Choose option", "Not calculated",IF(K111="Finite end point",SUM(P111:Q111),IF(COUNTIF(#REF!,"&gt;=0")&lt;1,INDEX(#REF!,1,COUNT(#REF!)),INDEX(#REF!,1,MATCH(TRUE,INDEX(#REF!&gt;=0,1,0),)))))</f>
        <v>Not calculated</v>
      </c>
      <c r="S111" s="16"/>
      <c r="T111" s="4" t="str">
        <f>IF(R111="Not calculated","Not calculated",SUM(R111:R115)/ROUND(COUNTIF(R111:R115,"&gt;0")+COUNTIF(R111:R115,"&lt;0"),0))</f>
        <v>Not calculated</v>
      </c>
      <c r="U111" s="113"/>
      <c r="AF111" s="32"/>
      <c r="AG111" s="27"/>
      <c r="BF111" s="32"/>
    </row>
    <row r="112" spans="2:58" ht="44.1" customHeight="1" thickBot="1">
      <c r="B112" s="17"/>
      <c r="C112" s="17"/>
      <c r="D112" s="11" t="str">
        <f>CONCATENATE($B111,"b")</f>
        <v>0.13b</v>
      </c>
      <c r="E112" s="21">
        <f>VLOOKUP(D112,'Impact Model'!$D$15:$L$340,2,FALSE)</f>
        <v>0</v>
      </c>
      <c r="F112" s="21" t="e">
        <f t="array" ref="F112">INDEX('Impact Model'!$D$15:$F$340,MATCH(D112&amp;E112,'Impact Model'!$D$15:$D$340&amp;'Impact Model'!$E$15:$E$340,0),3)</f>
        <v>#N/A</v>
      </c>
      <c r="G112" s="21" t="e">
        <f t="array" ref="G112">INDEX('Impact Model'!$D$15:$H$340,MATCH(D112&amp;E112,'Impact Model'!$D$15:$D$340&amp;'Impact Model'!$E$15:$E$340,0),5)</f>
        <v>#N/A</v>
      </c>
      <c r="H112" s="93"/>
      <c r="I112" s="94"/>
      <c r="J112" s="142" t="s">
        <v>67</v>
      </c>
      <c r="K112" s="142" t="s">
        <v>77</v>
      </c>
      <c r="L112" s="143" t="b">
        <f>IF(K112="Finite end point","Continue to Column M",IF(K112="Five yearly time-step","Switch to Offset Model_5 yearly"))</f>
        <v>0</v>
      </c>
      <c r="M112" s="70"/>
      <c r="N112" s="70"/>
      <c r="O112" s="70"/>
      <c r="P112" s="4" t="str">
        <f t="shared" ref="P112:P115" si="11">IF(K112="Finite end point",IFERROR(IF(ISBLANK(O112),"",((IF($J112="Low confidence &gt;50% &lt;75%",(IF(N112&lt;$G112,N112/$G112,1)-IF(M112&lt;$G112,M112/$G112,1))*0.62,IF($J112="Confident 75-90%",(IF(N112&lt;$G112,N112/$G112,1)-IF(M112&lt;$G112,M112/$G112,1))*0.825,IF($J112="Very confident &gt;90%",(IF(N112&lt;$G112,N112/$G112,1)-IF(M112&lt;$G112,M112/$G112,1))*0.955)))))/(1+$E$11)^O112)*(I112),"Not calculated"),"Not calculated")</f>
        <v>Not calculated</v>
      </c>
      <c r="Q112" s="4" t="e">
        <f t="array" ref="Q112">INDEX('Impact Model'!$D$15:$L$340,MATCH(D112&amp;E112,'Impact Model'!$D$15:$D$340&amp;'Impact Model'!$E$15:$E$340,0),8)</f>
        <v>#N/A</v>
      </c>
      <c r="R112" s="4" t="str">
        <f>IF(K112="Choose option", "Not calculated",IF(K112="Finite end point",SUM(P112:Q112),IF(COUNTIF(#REF!,"&gt;=0")&lt;1,INDEX(#REF!,1,COUNT(#REF!)),INDEX(#REF!,1,MATCH(TRUE,INDEX(#REF!&gt;=0,1,0),)))))</f>
        <v>Not calculated</v>
      </c>
      <c r="S112" s="18"/>
      <c r="T112" s="3"/>
      <c r="AF112" s="13"/>
      <c r="AG112"/>
      <c r="BF112" s="13"/>
    </row>
    <row r="113" spans="2:58" ht="44.1" customHeight="1" thickBot="1">
      <c r="B113" s="19"/>
      <c r="C113" s="19"/>
      <c r="D113" s="11" t="str">
        <f>CONCATENATE($B111,"c")</f>
        <v>0.13c</v>
      </c>
      <c r="E113" s="21">
        <f>VLOOKUP(D113,'Impact Model'!$D$15:$L$340,2,FALSE)</f>
        <v>0</v>
      </c>
      <c r="F113" s="21" t="e">
        <f t="array" ref="F113">INDEX('Impact Model'!$D$15:$F$340,MATCH(D113&amp;E113,'Impact Model'!$D$15:$D$340&amp;'Impact Model'!$E$15:$E$340,0),3)</f>
        <v>#N/A</v>
      </c>
      <c r="G113" s="21" t="e">
        <f t="array" ref="G113">INDEX('Impact Model'!$D$15:$H$340,MATCH(D113&amp;E113,'Impact Model'!$D$15:$D$340&amp;'Impact Model'!$E$15:$E$340,0),5)</f>
        <v>#N/A</v>
      </c>
      <c r="H113" s="93"/>
      <c r="I113" s="94"/>
      <c r="J113" s="142" t="s">
        <v>67</v>
      </c>
      <c r="K113" s="142" t="s">
        <v>77</v>
      </c>
      <c r="L113" s="143" t="b">
        <f>IF(K113="Finite end point","Continue to Column M",IF(K113="Five yearly time-step","Switch to Offset Model_5 yearly"))</f>
        <v>0</v>
      </c>
      <c r="M113" s="70"/>
      <c r="N113" s="70"/>
      <c r="O113" s="70"/>
      <c r="P113" s="4" t="str">
        <f t="shared" si="11"/>
        <v>Not calculated</v>
      </c>
      <c r="Q113" s="4" t="e">
        <f t="array" ref="Q113">INDEX('Impact Model'!$D$15:$L$340,MATCH(D113&amp;E113,'Impact Model'!$D$15:$D$340&amp;'Impact Model'!$E$15:$E$340,0),8)</f>
        <v>#N/A</v>
      </c>
      <c r="R113" s="4" t="str">
        <f>IF(K113="Choose option", "Not calculated",IF(K113="Finite end point",SUM(P113:Q113),IF(COUNTIF(#REF!,"&gt;=0")&lt;1,INDEX(#REF!,1,COUNT(#REF!)),INDEX(#REF!,1,MATCH(TRUE,INDEX(#REF!&gt;=0,1,0),)))))</f>
        <v>Not calculated</v>
      </c>
      <c r="S113" s="18"/>
      <c r="T113" s="121"/>
      <c r="AF113" s="13"/>
      <c r="AG113"/>
      <c r="BF113" s="13"/>
    </row>
    <row r="114" spans="2:58" ht="44.1" customHeight="1" thickBot="1">
      <c r="B114" s="19"/>
      <c r="C114" s="19"/>
      <c r="D114" s="11" t="str">
        <f>CONCATENATE($B111,"d")</f>
        <v>0.13d</v>
      </c>
      <c r="E114" s="21">
        <f>VLOOKUP(D114,'Impact Model'!$D$15:$L$340,2,FALSE)</f>
        <v>0</v>
      </c>
      <c r="F114" s="21" t="e">
        <f t="array" ref="F114">INDEX('Impact Model'!$D$15:$F$340,MATCH(D114&amp;E114,'Impact Model'!$D$15:$D$340&amp;'Impact Model'!$E$15:$E$340,0),3)</f>
        <v>#N/A</v>
      </c>
      <c r="G114" s="21" t="e">
        <f t="array" ref="G114">INDEX('Impact Model'!$D$15:$H$340,MATCH(D114&amp;E114,'Impact Model'!$D$15:$D$340&amp;'Impact Model'!$E$15:$E$340,0),5)</f>
        <v>#N/A</v>
      </c>
      <c r="H114" s="93"/>
      <c r="I114" s="94"/>
      <c r="J114" s="142" t="s">
        <v>67</v>
      </c>
      <c r="K114" s="142" t="s">
        <v>77</v>
      </c>
      <c r="L114" s="143" t="b">
        <f>IF(K114="Finite end point","Continue to Column M",IF(K114="Five yearly time-step","Switch to Offset Model_5 yearly"))</f>
        <v>0</v>
      </c>
      <c r="M114" s="70"/>
      <c r="N114" s="70"/>
      <c r="O114" s="70"/>
      <c r="P114" s="4" t="str">
        <f t="shared" si="11"/>
        <v>Not calculated</v>
      </c>
      <c r="Q114" s="4" t="e">
        <f t="array" ref="Q114">INDEX('Impact Model'!$D$15:$L$340,MATCH(D114&amp;E114,'Impact Model'!$D$15:$D$340&amp;'Impact Model'!$E$15:$E$340,0),8)</f>
        <v>#N/A</v>
      </c>
      <c r="R114" s="4" t="str">
        <f>IF(K114="Choose option", "Not calculated",IF(K114="Finite end point",SUM(P114:Q114),IF(COUNTIF(#REF!,"&gt;=0")&lt;1,INDEX(#REF!,1,COUNT(#REF!)),INDEX(#REF!,1,MATCH(TRUE,INDEX(#REF!&gt;=0,1,0),)))))</f>
        <v>Not calculated</v>
      </c>
      <c r="S114" s="18"/>
      <c r="T114" s="3"/>
      <c r="AF114" s="13"/>
      <c r="AG114"/>
      <c r="BF114" s="13"/>
    </row>
    <row r="115" spans="2:58" ht="44.1" customHeight="1" thickBot="1">
      <c r="B115" s="19"/>
      <c r="C115" s="19"/>
      <c r="D115" s="11" t="str">
        <f>CONCATENATE($B111,"e")</f>
        <v>0.13e</v>
      </c>
      <c r="E115" s="21">
        <f>VLOOKUP(D115,'Impact Model'!$D$15:$L$340,2,FALSE)</f>
        <v>0</v>
      </c>
      <c r="F115" s="21" t="e">
        <f t="array" ref="F115">INDEX('Impact Model'!$D$15:$F$340,MATCH(D115&amp;E115,'Impact Model'!$D$15:$D$340&amp;'Impact Model'!$E$15:$E$340,0),3)</f>
        <v>#N/A</v>
      </c>
      <c r="G115" s="21" t="e">
        <f t="array" ref="G115">INDEX('Impact Model'!$D$15:$H$340,MATCH(D115&amp;E115,'Impact Model'!$D$15:$D$340&amp;'Impact Model'!$E$15:$E$340,0),5)</f>
        <v>#N/A</v>
      </c>
      <c r="H115" s="93"/>
      <c r="I115" s="94"/>
      <c r="J115" s="142" t="s">
        <v>67</v>
      </c>
      <c r="K115" s="142" t="s">
        <v>77</v>
      </c>
      <c r="L115" s="143" t="b">
        <f>IF(K115="Finite end point","Continue to Column M",IF(K115="Five yearly time-step","Switch to Offset Model_5 yearly"))</f>
        <v>0</v>
      </c>
      <c r="M115" s="70"/>
      <c r="N115" s="70"/>
      <c r="O115" s="70"/>
      <c r="P115" s="4" t="str">
        <f t="shared" si="11"/>
        <v>Not calculated</v>
      </c>
      <c r="Q115" s="4" t="e">
        <f t="array" ref="Q115">INDEX('Impact Model'!$D$15:$L$340,MATCH(D115&amp;E115,'Impact Model'!$D$15:$D$340&amp;'Impact Model'!$E$15:$E$340,0),8)</f>
        <v>#N/A</v>
      </c>
      <c r="R115" s="4" t="str">
        <f>IF(K115="Choose option", "Not calculated",IF(K115="Finite end point",SUM(P115:Q115),IF(COUNTIF(#REF!,"&gt;=0")&lt;1,INDEX(#REF!,1,COUNT(#REF!)),INDEX(#REF!,1,MATCH(TRUE,INDEX(#REF!&gt;=0,1,0),)))))</f>
        <v>Not calculated</v>
      </c>
      <c r="S115" s="18"/>
      <c r="T115" s="3"/>
      <c r="AF115" s="13"/>
      <c r="AG115"/>
      <c r="BF115" s="13"/>
    </row>
    <row r="116" spans="2:58" ht="15.95" customHeight="1" thickBot="1"/>
    <row r="117" spans="2:58" s="60" customFormat="1" ht="108" customHeight="1">
      <c r="B117" s="12"/>
      <c r="C117" s="184" t="s">
        <v>47</v>
      </c>
      <c r="D117" s="185"/>
      <c r="E117" s="185"/>
      <c r="F117" s="185"/>
      <c r="G117" s="186"/>
      <c r="H117" s="184" t="s">
        <v>62</v>
      </c>
      <c r="I117" s="185"/>
      <c r="J117" s="186"/>
      <c r="K117" s="187" t="s">
        <v>44</v>
      </c>
      <c r="L117" s="188"/>
      <c r="M117" s="184" t="s">
        <v>78</v>
      </c>
      <c r="N117" s="185"/>
      <c r="O117" s="185"/>
      <c r="P117" s="185"/>
      <c r="Q117" s="185"/>
      <c r="R117" s="186"/>
      <c r="T117" s="154" t="s">
        <v>50</v>
      </c>
      <c r="AG117" s="27"/>
      <c r="BF117" s="68"/>
    </row>
    <row r="118" spans="2:58" s="60" customFormat="1" ht="62.1" customHeight="1" thickBot="1">
      <c r="C118" s="147" t="s">
        <v>4</v>
      </c>
      <c r="D118" s="191" t="s">
        <v>5</v>
      </c>
      <c r="E118" s="192"/>
      <c r="F118" s="34" t="s">
        <v>27</v>
      </c>
      <c r="G118" s="69" t="s">
        <v>33</v>
      </c>
      <c r="H118" s="33" t="s">
        <v>59</v>
      </c>
      <c r="I118" s="34" t="s">
        <v>20</v>
      </c>
      <c r="J118" s="22" t="s">
        <v>25</v>
      </c>
      <c r="K118" s="189"/>
      <c r="L118" s="190"/>
      <c r="M118" s="148" t="s">
        <v>84</v>
      </c>
      <c r="N118" s="148" t="s">
        <v>85</v>
      </c>
      <c r="O118" s="33" t="s">
        <v>45</v>
      </c>
      <c r="P118" s="34" t="s">
        <v>129</v>
      </c>
      <c r="Q118" s="35" t="s">
        <v>131</v>
      </c>
      <c r="R118" s="69" t="s">
        <v>51</v>
      </c>
      <c r="S118" s="15"/>
      <c r="T118" s="97" t="s">
        <v>52</v>
      </c>
      <c r="AF118" s="15"/>
      <c r="AG118" s="27"/>
      <c r="BF118" s="15"/>
    </row>
    <row r="119" spans="2:58" s="60" customFormat="1" ht="44.1" customHeight="1" thickBot="1">
      <c r="B119" s="11" t="str">
        <f>CONCATENATE($B$11+0.14)</f>
        <v>0.14</v>
      </c>
      <c r="C119" s="21">
        <f>VLOOKUP(B119,'Impact Model'!$B$15:$L$340,2,FALSE)</f>
        <v>0</v>
      </c>
      <c r="D119" s="11" t="str">
        <f>CONCATENATE($B119,"a")</f>
        <v>0.14a</v>
      </c>
      <c r="E119" s="21">
        <f>VLOOKUP(D119,'Impact Model'!$D$15:$L$340,2,FALSE)</f>
        <v>0</v>
      </c>
      <c r="F119" s="21" t="e">
        <f t="array" ref="F119">INDEX('Impact Model'!$D$15:$F$340,MATCH(D119&amp;E119,'Impact Model'!$D$15:$D$340&amp;'Impact Model'!$E$15:$E$340,0),3)</f>
        <v>#N/A</v>
      </c>
      <c r="G119" s="21" t="e">
        <f t="array" ref="G119">INDEX('Impact Model'!$D$15:$H$340,MATCH(D119&amp;E119,'Impact Model'!$D$15:$D$340&amp;'Impact Model'!$E$15:$E$340,0),5)</f>
        <v>#N/A</v>
      </c>
      <c r="H119" s="93"/>
      <c r="I119" s="94"/>
      <c r="J119" s="142" t="s">
        <v>67</v>
      </c>
      <c r="K119" s="142" t="s">
        <v>77</v>
      </c>
      <c r="L119" s="143" t="b">
        <f>IF(K119="Finite end point","Continue to Column M",IF(K119="Five yearly time-step","Switch to Offset Model_5 yearly"))</f>
        <v>0</v>
      </c>
      <c r="M119" s="70"/>
      <c r="N119" s="70"/>
      <c r="O119" s="70"/>
      <c r="P119" s="4" t="str">
        <f>IF(K119="Finite end point",IFERROR(IF(ISBLANK(O119),"",((IF($J119="Low confidence &gt;50% &lt;75%",(IF(N119&lt;$G119,N119/$G119,1)-IF(M119&lt;$G119,M119/$G119,1))*0.62,IF($J119="Confident 75-90%",(IF(N119&lt;$G119,N119/$G119,1)-IF(M119&lt;$G119,M119/$G119,1))*0.825,IF($J119="Very confident &gt;90%",(IF(N119&lt;$G119,N119/$G119,1)-IF(M119&lt;$G119,M119/$G119,1))*0.955)))))/(1+$E$11)^O119)*(I119),"Not calculated"),"Not calculated")</f>
        <v>Not calculated</v>
      </c>
      <c r="Q119" s="4" t="e">
        <f t="array" ref="Q119">INDEX('Impact Model'!$D$15:$L$340,MATCH(D119&amp;E119,'Impact Model'!$D$15:$D$340&amp;'Impact Model'!$E$15:$E$340,0),8)</f>
        <v>#N/A</v>
      </c>
      <c r="R119" s="4" t="str">
        <f>IF(K119="Choose option", "Not calculated",IF(K119="Finite end point",SUM(P119:Q119),IF(COUNTIF(#REF!,"&gt;=0")&lt;1,INDEX(#REF!,1,COUNT(#REF!)),INDEX(#REF!,1,MATCH(TRUE,INDEX(#REF!&gt;=0,1,0),)))))</f>
        <v>Not calculated</v>
      </c>
      <c r="S119" s="16"/>
      <c r="T119" s="4" t="str">
        <f>IF(R119="Not calculated","Not calculated",SUM(R119:R123)/ROUND(COUNTIF(R119:R123,"&gt;0")+COUNTIF(R119:R123,"&lt;0"),0))</f>
        <v>Not calculated</v>
      </c>
      <c r="U119" s="113"/>
      <c r="AF119" s="32"/>
      <c r="AG119" s="27"/>
      <c r="BF119" s="32"/>
    </row>
    <row r="120" spans="2:58" ht="44.1" customHeight="1" thickBot="1">
      <c r="B120" s="17"/>
      <c r="C120" s="17"/>
      <c r="D120" s="11" t="str">
        <f>CONCATENATE($B119,"b")</f>
        <v>0.14b</v>
      </c>
      <c r="E120" s="21">
        <f>VLOOKUP(D120,'Impact Model'!$D$15:$L$340,2,FALSE)</f>
        <v>0</v>
      </c>
      <c r="F120" s="21" t="e">
        <f t="array" ref="F120">INDEX('Impact Model'!$D$15:$F$340,MATCH(D120&amp;E120,'Impact Model'!$D$15:$D$340&amp;'Impact Model'!$E$15:$E$340,0),3)</f>
        <v>#N/A</v>
      </c>
      <c r="G120" s="21" t="e">
        <f t="array" ref="G120">INDEX('Impact Model'!$D$15:$H$340,MATCH(D120&amp;E120,'Impact Model'!$D$15:$D$340&amp;'Impact Model'!$E$15:$E$340,0),5)</f>
        <v>#N/A</v>
      </c>
      <c r="H120" s="93"/>
      <c r="I120" s="94"/>
      <c r="J120" s="142" t="s">
        <v>67</v>
      </c>
      <c r="K120" s="142" t="s">
        <v>77</v>
      </c>
      <c r="L120" s="143" t="b">
        <f>IF(K120="Finite end point","Continue to Column M",IF(K120="Five yearly time-step","Switch to Offset Model_5 yearly"))</f>
        <v>0</v>
      </c>
      <c r="M120" s="70"/>
      <c r="N120" s="70"/>
      <c r="O120" s="70"/>
      <c r="P120" s="4" t="str">
        <f t="shared" ref="P120:P123" si="12">IF(K120="Finite end point",IFERROR(IF(ISBLANK(O120),"",((IF($J120="Low confidence &gt;50% &lt;75%",(IF(N120&lt;$G120,N120/$G120,1)-IF(M120&lt;$G120,M120/$G120,1))*0.62,IF($J120="Confident 75-90%",(IF(N120&lt;$G120,N120/$G120,1)-IF(M120&lt;$G120,M120/$G120,1))*0.825,IF($J120="Very confident &gt;90%",(IF(N120&lt;$G120,N120/$G120,1)-IF(M120&lt;$G120,M120/$G120,1))*0.955)))))/(1+$E$11)^O120)*(I120),"Not calculated"),"Not calculated")</f>
        <v>Not calculated</v>
      </c>
      <c r="Q120" s="4" t="e">
        <f t="array" ref="Q120">INDEX('Impact Model'!$D$15:$L$340,MATCH(D120&amp;E120,'Impact Model'!$D$15:$D$340&amp;'Impact Model'!$E$15:$E$340,0),8)</f>
        <v>#N/A</v>
      </c>
      <c r="R120" s="4" t="str">
        <f>IF(K120="Choose option", "Not calculated",IF(K120="Finite end point",SUM(P120:Q120),IF(COUNTIF(#REF!,"&gt;=0")&lt;1,INDEX(#REF!,1,COUNT(#REF!)),INDEX(#REF!,1,MATCH(TRUE,INDEX(#REF!&gt;=0,1,0),)))))</f>
        <v>Not calculated</v>
      </c>
      <c r="S120" s="18"/>
      <c r="T120" s="3"/>
      <c r="AF120" s="13"/>
      <c r="AG120"/>
      <c r="BF120" s="13"/>
    </row>
    <row r="121" spans="2:58" ht="44.1" customHeight="1" thickBot="1">
      <c r="B121" s="19"/>
      <c r="C121" s="19"/>
      <c r="D121" s="11" t="str">
        <f>CONCATENATE($B119,"c")</f>
        <v>0.14c</v>
      </c>
      <c r="E121" s="21">
        <f>VLOOKUP(D121,'Impact Model'!$D$15:$L$340,2,FALSE)</f>
        <v>0</v>
      </c>
      <c r="F121" s="21" t="e">
        <f t="array" ref="F121">INDEX('Impact Model'!$D$15:$F$340,MATCH(D121&amp;E121,'Impact Model'!$D$15:$D$340&amp;'Impact Model'!$E$15:$E$340,0),3)</f>
        <v>#N/A</v>
      </c>
      <c r="G121" s="21" t="e">
        <f t="array" ref="G121">INDEX('Impact Model'!$D$15:$H$340,MATCH(D121&amp;E121,'Impact Model'!$D$15:$D$340&amp;'Impact Model'!$E$15:$E$340,0),5)</f>
        <v>#N/A</v>
      </c>
      <c r="H121" s="93"/>
      <c r="I121" s="94"/>
      <c r="J121" s="142" t="s">
        <v>67</v>
      </c>
      <c r="K121" s="142" t="s">
        <v>77</v>
      </c>
      <c r="L121" s="143" t="b">
        <f>IF(K121="Finite end point","Continue to Column M",IF(K121="Five yearly time-step","Switch to Offset Model_5 yearly"))</f>
        <v>0</v>
      </c>
      <c r="M121" s="70"/>
      <c r="N121" s="70"/>
      <c r="O121" s="70"/>
      <c r="P121" s="4" t="str">
        <f t="shared" si="12"/>
        <v>Not calculated</v>
      </c>
      <c r="Q121" s="4" t="e">
        <f t="array" ref="Q121">INDEX('Impact Model'!$D$15:$L$340,MATCH(D121&amp;E121,'Impact Model'!$D$15:$D$340&amp;'Impact Model'!$E$15:$E$340,0),8)</f>
        <v>#N/A</v>
      </c>
      <c r="R121" s="4" t="str">
        <f>IF(K121="Choose option", "Not calculated",IF(K121="Finite end point",SUM(P121:Q121),IF(COUNTIF(#REF!,"&gt;=0")&lt;1,INDEX(#REF!,1,COUNT(#REF!)),INDEX(#REF!,1,MATCH(TRUE,INDEX(#REF!&gt;=0,1,0),)))))</f>
        <v>Not calculated</v>
      </c>
      <c r="S121" s="18"/>
      <c r="T121" s="121"/>
      <c r="AF121" s="13"/>
      <c r="AG121"/>
      <c r="BF121" s="13"/>
    </row>
    <row r="122" spans="2:58" ht="44.1" customHeight="1" thickBot="1">
      <c r="B122" s="19"/>
      <c r="C122" s="19"/>
      <c r="D122" s="11" t="str">
        <f>CONCATENATE($B119,"d")</f>
        <v>0.14d</v>
      </c>
      <c r="E122" s="21">
        <f>VLOOKUP(D122,'Impact Model'!$D$15:$L$340,2,FALSE)</f>
        <v>0</v>
      </c>
      <c r="F122" s="21" t="e">
        <f t="array" ref="F122">INDEX('Impact Model'!$D$15:$F$340,MATCH(D122&amp;E122,'Impact Model'!$D$15:$D$340&amp;'Impact Model'!$E$15:$E$340,0),3)</f>
        <v>#N/A</v>
      </c>
      <c r="G122" s="21" t="e">
        <f t="array" ref="G122">INDEX('Impact Model'!$D$15:$H$340,MATCH(D122&amp;E122,'Impact Model'!$D$15:$D$340&amp;'Impact Model'!$E$15:$E$340,0),5)</f>
        <v>#N/A</v>
      </c>
      <c r="H122" s="93"/>
      <c r="I122" s="94"/>
      <c r="J122" s="142" t="s">
        <v>67</v>
      </c>
      <c r="K122" s="142" t="s">
        <v>77</v>
      </c>
      <c r="L122" s="143" t="b">
        <f>IF(K122="Finite end point","Continue to Column M",IF(K122="Five yearly time-step","Switch to Offset Model_5 yearly"))</f>
        <v>0</v>
      </c>
      <c r="M122" s="70"/>
      <c r="N122" s="70"/>
      <c r="O122" s="70"/>
      <c r="P122" s="4" t="str">
        <f t="shared" si="12"/>
        <v>Not calculated</v>
      </c>
      <c r="Q122" s="4" t="e">
        <f t="array" ref="Q122">INDEX('Impact Model'!$D$15:$L$340,MATCH(D122&amp;E122,'Impact Model'!$D$15:$D$340&amp;'Impact Model'!$E$15:$E$340,0),8)</f>
        <v>#N/A</v>
      </c>
      <c r="R122" s="4" t="str">
        <f>IF(K122="Choose option", "Not calculated",IF(K122="Finite end point",SUM(P122:Q122),IF(COUNTIF(#REF!,"&gt;=0")&lt;1,INDEX(#REF!,1,COUNT(#REF!)),INDEX(#REF!,1,MATCH(TRUE,INDEX(#REF!&gt;=0,1,0),)))))</f>
        <v>Not calculated</v>
      </c>
      <c r="S122" s="18"/>
      <c r="T122" s="3"/>
      <c r="AF122" s="13"/>
      <c r="AG122"/>
      <c r="BF122" s="13"/>
    </row>
    <row r="123" spans="2:58" ht="44.1" customHeight="1" thickBot="1">
      <c r="B123" s="19"/>
      <c r="C123" s="19"/>
      <c r="D123" s="11" t="str">
        <f>CONCATENATE($B119,"e")</f>
        <v>0.14e</v>
      </c>
      <c r="E123" s="21">
        <f>VLOOKUP(D123,'Impact Model'!$D$15:$L$340,2,FALSE)</f>
        <v>0</v>
      </c>
      <c r="F123" s="21" t="e">
        <f t="array" ref="F123">INDEX('Impact Model'!$D$15:$F$340,MATCH(D123&amp;E123,'Impact Model'!$D$15:$D$340&amp;'Impact Model'!$E$15:$E$340,0),3)</f>
        <v>#N/A</v>
      </c>
      <c r="G123" s="21" t="e">
        <f t="array" ref="G123">INDEX('Impact Model'!$D$15:$H$340,MATCH(D123&amp;E123,'Impact Model'!$D$15:$D$340&amp;'Impact Model'!$E$15:$E$340,0),5)</f>
        <v>#N/A</v>
      </c>
      <c r="H123" s="93"/>
      <c r="I123" s="94"/>
      <c r="J123" s="142" t="s">
        <v>67</v>
      </c>
      <c r="K123" s="142" t="s">
        <v>77</v>
      </c>
      <c r="L123" s="143" t="b">
        <f>IF(K123="Finite end point","Continue to Column M",IF(K123="Five yearly time-step","Switch to Offset Model_5 yearly"))</f>
        <v>0</v>
      </c>
      <c r="M123" s="70"/>
      <c r="N123" s="70"/>
      <c r="O123" s="70"/>
      <c r="P123" s="4" t="str">
        <f t="shared" si="12"/>
        <v>Not calculated</v>
      </c>
      <c r="Q123" s="4" t="e">
        <f t="array" ref="Q123">INDEX('Impact Model'!$D$15:$L$340,MATCH(D123&amp;E123,'Impact Model'!$D$15:$D$340&amp;'Impact Model'!$E$15:$E$340,0),8)</f>
        <v>#N/A</v>
      </c>
      <c r="R123" s="4" t="str">
        <f>IF(K123="Choose option", "Not calculated",IF(K123="Finite end point",SUM(P123:Q123),IF(COUNTIF(#REF!,"&gt;=0")&lt;1,INDEX(#REF!,1,COUNT(#REF!)),INDEX(#REF!,1,MATCH(TRUE,INDEX(#REF!&gt;=0,1,0),)))))</f>
        <v>Not calculated</v>
      </c>
      <c r="S123" s="18"/>
      <c r="T123" s="3"/>
      <c r="AF123" s="13"/>
      <c r="AG123"/>
      <c r="BF123" s="13"/>
    </row>
    <row r="124" spans="2:58" ht="15.95" customHeight="1" thickBot="1"/>
    <row r="125" spans="2:58" s="60" customFormat="1" ht="108" customHeight="1">
      <c r="B125" s="12"/>
      <c r="C125" s="184" t="s">
        <v>47</v>
      </c>
      <c r="D125" s="185"/>
      <c r="E125" s="185"/>
      <c r="F125" s="185"/>
      <c r="G125" s="186"/>
      <c r="H125" s="184" t="s">
        <v>62</v>
      </c>
      <c r="I125" s="185"/>
      <c r="J125" s="186"/>
      <c r="K125" s="187" t="s">
        <v>44</v>
      </c>
      <c r="L125" s="188"/>
      <c r="M125" s="184" t="s">
        <v>78</v>
      </c>
      <c r="N125" s="185"/>
      <c r="O125" s="185"/>
      <c r="P125" s="185"/>
      <c r="Q125" s="185"/>
      <c r="R125" s="186"/>
      <c r="T125" s="154" t="s">
        <v>50</v>
      </c>
      <c r="AG125" s="27"/>
      <c r="BF125" s="68"/>
    </row>
    <row r="126" spans="2:58" s="60" customFormat="1" ht="62.1" customHeight="1" thickBot="1">
      <c r="C126" s="147" t="s">
        <v>4</v>
      </c>
      <c r="D126" s="191" t="s">
        <v>5</v>
      </c>
      <c r="E126" s="192"/>
      <c r="F126" s="34" t="s">
        <v>27</v>
      </c>
      <c r="G126" s="69" t="s">
        <v>33</v>
      </c>
      <c r="H126" s="33" t="s">
        <v>59</v>
      </c>
      <c r="I126" s="34" t="s">
        <v>20</v>
      </c>
      <c r="J126" s="22" t="s">
        <v>25</v>
      </c>
      <c r="K126" s="189"/>
      <c r="L126" s="190"/>
      <c r="M126" s="148" t="s">
        <v>84</v>
      </c>
      <c r="N126" s="148" t="s">
        <v>85</v>
      </c>
      <c r="O126" s="33" t="s">
        <v>45</v>
      </c>
      <c r="P126" s="34" t="s">
        <v>129</v>
      </c>
      <c r="Q126" s="35" t="s">
        <v>131</v>
      </c>
      <c r="R126" s="69" t="s">
        <v>51</v>
      </c>
      <c r="S126" s="15"/>
      <c r="T126" s="97" t="s">
        <v>52</v>
      </c>
      <c r="AF126" s="15"/>
      <c r="AG126" s="27"/>
      <c r="BF126" s="15"/>
    </row>
    <row r="127" spans="2:58" s="60" customFormat="1" ht="44.1" customHeight="1" thickBot="1">
      <c r="B127" s="11" t="str">
        <f>CONCATENATE($B$11+0.15)</f>
        <v>0.15</v>
      </c>
      <c r="C127" s="21">
        <f>VLOOKUP(B127,'Impact Model'!$B$15:$L$340,2,FALSE)</f>
        <v>0</v>
      </c>
      <c r="D127" s="11" t="str">
        <f>CONCATENATE($B127,"a")</f>
        <v>0.15a</v>
      </c>
      <c r="E127" s="21">
        <f>VLOOKUP(D127,'Impact Model'!$D$15:$L$340,2,FALSE)</f>
        <v>0</v>
      </c>
      <c r="F127" s="21" t="e">
        <f t="array" ref="F127">INDEX('Impact Model'!$D$15:$F$340,MATCH(D127&amp;E127,'Impact Model'!$D$15:$D$340&amp;'Impact Model'!$E$15:$E$340,0),3)</f>
        <v>#N/A</v>
      </c>
      <c r="G127" s="21" t="e">
        <f t="array" ref="G127">INDEX('Impact Model'!$D$15:$H$340,MATCH(D127&amp;E127,'Impact Model'!$D$15:$D$340&amp;'Impact Model'!$E$15:$E$340,0),5)</f>
        <v>#N/A</v>
      </c>
      <c r="H127" s="93"/>
      <c r="I127" s="94"/>
      <c r="J127" s="142" t="s">
        <v>67</v>
      </c>
      <c r="K127" s="142" t="s">
        <v>77</v>
      </c>
      <c r="L127" s="143" t="b">
        <f>IF(K127="Finite end point","Continue to Column M",IF(K127="Five yearly time-step","Switch to Offset Model_5 yearly"))</f>
        <v>0</v>
      </c>
      <c r="M127" s="70"/>
      <c r="N127" s="70"/>
      <c r="O127" s="70"/>
      <c r="P127" s="4" t="str">
        <f>IF(K127="Finite end point",IFERROR(IF(ISBLANK(O127),"",((IF($J127="Low confidence &gt;50% &lt;75%",(IF(N127&lt;$G127,N127/$G127,1)-IF(M127&lt;$G127,M127/$G127,1))*0.62,IF($J127="Confident 75-90%",(IF(N127&lt;$G127,N127/$G127,1)-IF(M127&lt;$G127,M127/$G127,1))*0.825,IF($J127="Very confident &gt;90%",(IF(N127&lt;$G127,N127/$G127,1)-IF(M127&lt;$G127,M127/$G127,1))*0.955)))))/(1+$E$11)^O127)*(I127),"Not calculated"),"Not calculated")</f>
        <v>Not calculated</v>
      </c>
      <c r="Q127" s="4" t="e">
        <f t="array" ref="Q127">INDEX('Impact Model'!$D$15:$L$340,MATCH(D127&amp;E127,'Impact Model'!$D$15:$D$340&amp;'Impact Model'!$E$15:$E$340,0),8)</f>
        <v>#N/A</v>
      </c>
      <c r="R127" s="4" t="str">
        <f>IF(K127="Choose option", "Not calculated",IF(K127="Finite end point",SUM(P127:Q127),IF(COUNTIF(#REF!,"&gt;=0")&lt;1,INDEX(#REF!,1,COUNT(#REF!)),INDEX(#REF!,1,MATCH(TRUE,INDEX(#REF!&gt;=0,1,0),)))))</f>
        <v>Not calculated</v>
      </c>
      <c r="S127" s="16"/>
      <c r="T127" s="4" t="str">
        <f>IF(R127="Not calculated","Not calculated",SUM(R127:R131)/ROUND(COUNTIF(R127:R131,"&gt;0")+COUNTIF(R127:R131,"&lt;0"),0))</f>
        <v>Not calculated</v>
      </c>
      <c r="U127" s="113"/>
      <c r="AF127" s="32"/>
      <c r="AG127" s="27"/>
      <c r="BF127" s="32"/>
    </row>
    <row r="128" spans="2:58" ht="44.1" customHeight="1" thickBot="1">
      <c r="B128" s="17"/>
      <c r="C128" s="17"/>
      <c r="D128" s="11" t="str">
        <f>CONCATENATE($B127,"b")</f>
        <v>0.15b</v>
      </c>
      <c r="E128" s="21">
        <f>VLOOKUP(D128,'Impact Model'!$D$15:$L$340,2,FALSE)</f>
        <v>0</v>
      </c>
      <c r="F128" s="21" t="e">
        <f t="array" ref="F128">INDEX('Impact Model'!$D$15:$F$340,MATCH(D128&amp;E128,'Impact Model'!$D$15:$D$340&amp;'Impact Model'!$E$15:$E$340,0),3)</f>
        <v>#N/A</v>
      </c>
      <c r="G128" s="21" t="e">
        <f t="array" ref="G128">INDEX('Impact Model'!$D$15:$H$340,MATCH(D128&amp;E128,'Impact Model'!$D$15:$D$340&amp;'Impact Model'!$E$15:$E$340,0),5)</f>
        <v>#N/A</v>
      </c>
      <c r="H128" s="93"/>
      <c r="I128" s="94"/>
      <c r="J128" s="142" t="s">
        <v>67</v>
      </c>
      <c r="K128" s="142" t="s">
        <v>77</v>
      </c>
      <c r="L128" s="143" t="b">
        <f>IF(K128="Finite end point","Continue to Column M",IF(K128="Five yearly time-step","Switch to Offset Model_5 yearly"))</f>
        <v>0</v>
      </c>
      <c r="M128" s="70"/>
      <c r="N128" s="70"/>
      <c r="O128" s="70"/>
      <c r="P128" s="4" t="str">
        <f t="shared" ref="P128:P131" si="13">IF(K128="Finite end point",IFERROR(IF(ISBLANK(O128),"",((IF($J128="Low confidence &gt;50% &lt;75%",(IF(N128&lt;$G128,N128/$G128,1)-IF(M128&lt;$G128,M128/$G128,1))*0.62,IF($J128="Confident 75-90%",(IF(N128&lt;$G128,N128/$G128,1)-IF(M128&lt;$G128,M128/$G128,1))*0.825,IF($J128="Very confident &gt;90%",(IF(N128&lt;$G128,N128/$G128,1)-IF(M128&lt;$G128,M128/$G128,1))*0.955)))))/(1+$E$11)^O128)*(I128),"Not calculated"),"Not calculated")</f>
        <v>Not calculated</v>
      </c>
      <c r="Q128" s="4" t="e">
        <f t="array" ref="Q128">INDEX('Impact Model'!$D$15:$L$340,MATCH(D128&amp;E128,'Impact Model'!$D$15:$D$340&amp;'Impact Model'!$E$15:$E$340,0),8)</f>
        <v>#N/A</v>
      </c>
      <c r="R128" s="4" t="str">
        <f>IF(K128="Choose option", "Not calculated",IF(K128="Finite end point",SUM(P128:Q128),IF(COUNTIF(#REF!,"&gt;=0")&lt;1,INDEX(#REF!,1,COUNT(#REF!)),INDEX(#REF!,1,MATCH(TRUE,INDEX(#REF!&gt;=0,1,0),)))))</f>
        <v>Not calculated</v>
      </c>
      <c r="S128" s="18"/>
      <c r="T128" s="3"/>
      <c r="AF128" s="13"/>
      <c r="AG128"/>
      <c r="BF128" s="13"/>
    </row>
    <row r="129" spans="2:58" ht="44.1" customHeight="1" thickBot="1">
      <c r="B129" s="19"/>
      <c r="C129" s="19"/>
      <c r="D129" s="11" t="str">
        <f>CONCATENATE($B127,"c")</f>
        <v>0.15c</v>
      </c>
      <c r="E129" s="21">
        <f>VLOOKUP(D129,'Impact Model'!$D$15:$L$340,2,FALSE)</f>
        <v>0</v>
      </c>
      <c r="F129" s="21" t="e">
        <f t="array" ref="F129">INDEX('Impact Model'!$D$15:$F$340,MATCH(D129&amp;E129,'Impact Model'!$D$15:$D$340&amp;'Impact Model'!$E$15:$E$340,0),3)</f>
        <v>#N/A</v>
      </c>
      <c r="G129" s="21" t="e">
        <f t="array" ref="G129">INDEX('Impact Model'!$D$15:$H$340,MATCH(D129&amp;E129,'Impact Model'!$D$15:$D$340&amp;'Impact Model'!$E$15:$E$340,0),5)</f>
        <v>#N/A</v>
      </c>
      <c r="H129" s="93"/>
      <c r="I129" s="94"/>
      <c r="J129" s="142" t="s">
        <v>67</v>
      </c>
      <c r="K129" s="142" t="s">
        <v>77</v>
      </c>
      <c r="L129" s="143" t="b">
        <f>IF(K129="Finite end point","Continue to Column M",IF(K129="Five yearly time-step","Switch to Offset Model_5 yearly"))</f>
        <v>0</v>
      </c>
      <c r="M129" s="70"/>
      <c r="N129" s="70"/>
      <c r="O129" s="70"/>
      <c r="P129" s="4" t="str">
        <f t="shared" si="13"/>
        <v>Not calculated</v>
      </c>
      <c r="Q129" s="4" t="e">
        <f t="array" ref="Q129">INDEX('Impact Model'!$D$15:$L$340,MATCH(D129&amp;E129,'Impact Model'!$D$15:$D$340&amp;'Impact Model'!$E$15:$E$340,0),8)</f>
        <v>#N/A</v>
      </c>
      <c r="R129" s="4" t="str">
        <f>IF(K129="Choose option", "Not calculated",IF(K129="Finite end point",SUM(P129:Q129),IF(COUNTIF(#REF!,"&gt;=0")&lt;1,INDEX(#REF!,1,COUNT(#REF!)),INDEX(#REF!,1,MATCH(TRUE,INDEX(#REF!&gt;=0,1,0),)))))</f>
        <v>Not calculated</v>
      </c>
      <c r="S129" s="18"/>
      <c r="T129" s="121"/>
      <c r="AF129" s="13"/>
      <c r="AG129"/>
      <c r="BF129" s="13"/>
    </row>
    <row r="130" spans="2:58" ht="44.1" customHeight="1" thickBot="1">
      <c r="B130" s="19"/>
      <c r="C130" s="19"/>
      <c r="D130" s="11" t="str">
        <f>CONCATENATE($B127,"d")</f>
        <v>0.15d</v>
      </c>
      <c r="E130" s="21">
        <f>VLOOKUP(D130,'Impact Model'!$D$15:$L$340,2,FALSE)</f>
        <v>0</v>
      </c>
      <c r="F130" s="21" t="e">
        <f t="array" ref="F130">INDEX('Impact Model'!$D$15:$F$340,MATCH(D130&amp;E130,'Impact Model'!$D$15:$D$340&amp;'Impact Model'!$E$15:$E$340,0),3)</f>
        <v>#N/A</v>
      </c>
      <c r="G130" s="21" t="e">
        <f t="array" ref="G130">INDEX('Impact Model'!$D$15:$H$340,MATCH(D130&amp;E130,'Impact Model'!$D$15:$D$340&amp;'Impact Model'!$E$15:$E$340,0),5)</f>
        <v>#N/A</v>
      </c>
      <c r="H130" s="93"/>
      <c r="I130" s="94"/>
      <c r="J130" s="142" t="s">
        <v>67</v>
      </c>
      <c r="K130" s="142" t="s">
        <v>77</v>
      </c>
      <c r="L130" s="143" t="b">
        <f>IF(K130="Finite end point","Continue to Column M",IF(K130="Five yearly time-step","Switch to Offset Model_5 yearly"))</f>
        <v>0</v>
      </c>
      <c r="M130" s="70"/>
      <c r="N130" s="70"/>
      <c r="O130" s="70"/>
      <c r="P130" s="4" t="str">
        <f t="shared" si="13"/>
        <v>Not calculated</v>
      </c>
      <c r="Q130" s="4" t="e">
        <f t="array" ref="Q130">INDEX('Impact Model'!$D$15:$L$340,MATCH(D130&amp;E130,'Impact Model'!$D$15:$D$340&amp;'Impact Model'!$E$15:$E$340,0),8)</f>
        <v>#N/A</v>
      </c>
      <c r="R130" s="4" t="str">
        <f>IF(K130="Choose option", "Not calculated",IF(K130="Finite end point",SUM(P130:Q130),IF(COUNTIF(#REF!,"&gt;=0")&lt;1,INDEX(#REF!,1,COUNT(#REF!)),INDEX(#REF!,1,MATCH(TRUE,INDEX(#REF!&gt;=0,1,0),)))))</f>
        <v>Not calculated</v>
      </c>
      <c r="S130" s="18"/>
      <c r="T130" s="3"/>
      <c r="AF130" s="13"/>
      <c r="AG130"/>
      <c r="BF130" s="13"/>
    </row>
    <row r="131" spans="2:58" ht="44.1" customHeight="1" thickBot="1">
      <c r="B131" s="19"/>
      <c r="C131" s="19"/>
      <c r="D131" s="11" t="str">
        <f>CONCATENATE($B127,"e")</f>
        <v>0.15e</v>
      </c>
      <c r="E131" s="21">
        <f>VLOOKUP(D131,'Impact Model'!$D$15:$L$340,2,FALSE)</f>
        <v>0</v>
      </c>
      <c r="F131" s="21" t="e">
        <f t="array" ref="F131">INDEX('Impact Model'!$D$15:$F$340,MATCH(D131&amp;E131,'Impact Model'!$D$15:$D$340&amp;'Impact Model'!$E$15:$E$340,0),3)</f>
        <v>#N/A</v>
      </c>
      <c r="G131" s="21" t="e">
        <f t="array" ref="G131">INDEX('Impact Model'!$D$15:$H$340,MATCH(D131&amp;E131,'Impact Model'!$D$15:$D$340&amp;'Impact Model'!$E$15:$E$340,0),5)</f>
        <v>#N/A</v>
      </c>
      <c r="H131" s="93"/>
      <c r="I131" s="94"/>
      <c r="J131" s="142" t="s">
        <v>67</v>
      </c>
      <c r="K131" s="142" t="s">
        <v>77</v>
      </c>
      <c r="L131" s="143" t="b">
        <f>IF(K131="Finite end point","Continue to Column M",IF(K131="Five yearly time-step","Switch to Offset Model_5 yearly"))</f>
        <v>0</v>
      </c>
      <c r="M131" s="70"/>
      <c r="N131" s="70"/>
      <c r="O131" s="70"/>
      <c r="P131" s="4" t="str">
        <f t="shared" si="13"/>
        <v>Not calculated</v>
      </c>
      <c r="Q131" s="4" t="e">
        <f t="array" ref="Q131">INDEX('Impact Model'!$D$15:$L$340,MATCH(D131&amp;E131,'Impact Model'!$D$15:$D$340&amp;'Impact Model'!$E$15:$E$340,0),8)</f>
        <v>#N/A</v>
      </c>
      <c r="R131" s="4" t="str">
        <f>IF(K131="Choose option", "Not calculated",IF(K131="Finite end point",SUM(P131:Q131),IF(COUNTIF(#REF!,"&gt;=0")&lt;1,INDEX(#REF!,1,COUNT(#REF!)),INDEX(#REF!,1,MATCH(TRUE,INDEX(#REF!&gt;=0,1,0),)))))</f>
        <v>Not calculated</v>
      </c>
      <c r="S131" s="18"/>
      <c r="T131" s="3"/>
      <c r="AF131" s="13"/>
      <c r="AG131"/>
      <c r="BF131" s="13"/>
    </row>
    <row r="132" spans="2:58" ht="15.95" customHeight="1" thickBot="1"/>
    <row r="133" spans="2:58" s="60" customFormat="1" ht="108" customHeight="1">
      <c r="B133" s="12"/>
      <c r="C133" s="184" t="s">
        <v>47</v>
      </c>
      <c r="D133" s="185"/>
      <c r="E133" s="185"/>
      <c r="F133" s="185"/>
      <c r="G133" s="186"/>
      <c r="H133" s="184" t="s">
        <v>62</v>
      </c>
      <c r="I133" s="185"/>
      <c r="J133" s="186"/>
      <c r="K133" s="187" t="s">
        <v>44</v>
      </c>
      <c r="L133" s="188"/>
      <c r="M133" s="184" t="s">
        <v>78</v>
      </c>
      <c r="N133" s="185"/>
      <c r="O133" s="185"/>
      <c r="P133" s="185"/>
      <c r="Q133" s="185"/>
      <c r="R133" s="186"/>
      <c r="T133" s="154" t="s">
        <v>50</v>
      </c>
      <c r="AG133" s="27"/>
      <c r="BF133" s="68"/>
    </row>
    <row r="134" spans="2:58" s="60" customFormat="1" ht="62.1" customHeight="1" thickBot="1">
      <c r="C134" s="147" t="s">
        <v>4</v>
      </c>
      <c r="D134" s="191" t="s">
        <v>5</v>
      </c>
      <c r="E134" s="192"/>
      <c r="F134" s="34" t="s">
        <v>27</v>
      </c>
      <c r="G134" s="69" t="s">
        <v>33</v>
      </c>
      <c r="H134" s="33" t="s">
        <v>59</v>
      </c>
      <c r="I134" s="34" t="s">
        <v>20</v>
      </c>
      <c r="J134" s="22" t="s">
        <v>25</v>
      </c>
      <c r="K134" s="189"/>
      <c r="L134" s="190"/>
      <c r="M134" s="148" t="s">
        <v>84</v>
      </c>
      <c r="N134" s="148" t="s">
        <v>85</v>
      </c>
      <c r="O134" s="33" t="s">
        <v>45</v>
      </c>
      <c r="P134" s="34" t="s">
        <v>129</v>
      </c>
      <c r="Q134" s="35" t="s">
        <v>131</v>
      </c>
      <c r="R134" s="69" t="s">
        <v>51</v>
      </c>
      <c r="S134" s="15"/>
      <c r="T134" s="97" t="s">
        <v>52</v>
      </c>
      <c r="AF134" s="15"/>
      <c r="AG134" s="27"/>
      <c r="BF134" s="15"/>
    </row>
    <row r="135" spans="2:58" s="60" customFormat="1" ht="44.1" customHeight="1" thickBot="1">
      <c r="B135" s="11" t="str">
        <f>CONCATENATE($B$11+0.16)</f>
        <v>0.16</v>
      </c>
      <c r="C135" s="21">
        <f>VLOOKUP(B135,'Impact Model'!$B$15:$L$340,2,FALSE)</f>
        <v>0</v>
      </c>
      <c r="D135" s="11" t="str">
        <f>CONCATENATE($B135,"a")</f>
        <v>0.16a</v>
      </c>
      <c r="E135" s="21">
        <f>VLOOKUP(D135,'Impact Model'!$D$15:$L$340,2,FALSE)</f>
        <v>0</v>
      </c>
      <c r="F135" s="21" t="e">
        <f t="array" ref="F135">INDEX('Impact Model'!$D$15:$F$340,MATCH(D135&amp;E135,'Impact Model'!$D$15:$D$340&amp;'Impact Model'!$E$15:$E$340,0),3)</f>
        <v>#N/A</v>
      </c>
      <c r="G135" s="21" t="e">
        <f t="array" ref="G135">INDEX('Impact Model'!$D$15:$H$340,MATCH(D135&amp;E135,'Impact Model'!$D$15:$D$340&amp;'Impact Model'!$E$15:$E$340,0),5)</f>
        <v>#N/A</v>
      </c>
      <c r="H135" s="93"/>
      <c r="I135" s="94"/>
      <c r="J135" s="142" t="s">
        <v>67</v>
      </c>
      <c r="K135" s="142" t="s">
        <v>77</v>
      </c>
      <c r="L135" s="143" t="b">
        <f>IF(K135="Finite end point","Continue to Column M",IF(K135="Five yearly time-step","Switch to Offset Model_5 yearly"))</f>
        <v>0</v>
      </c>
      <c r="M135" s="70"/>
      <c r="N135" s="70"/>
      <c r="O135" s="70"/>
      <c r="P135" s="4" t="str">
        <f>IF(K135="Finite end point",IFERROR(IF(ISBLANK(O135),"",((IF($J135="Low confidence &gt;50% &lt;75%",(IF(N135&lt;$G135,N135/$G135,1)-IF(M135&lt;$G135,M135/$G135,1))*0.62,IF($J135="Confident 75-90%",(IF(N135&lt;$G135,N135/$G135,1)-IF(M135&lt;$G135,M135/$G135,1))*0.825,IF($J135="Very confident &gt;90%",(IF(N135&lt;$G135,N135/$G135,1)-IF(M135&lt;$G135,M135/$G135,1))*0.955)))))/(1+$E$11)^O135)*(I135),"Not calculated"),"Not calculated")</f>
        <v>Not calculated</v>
      </c>
      <c r="Q135" s="4" t="e">
        <f t="array" ref="Q135">INDEX('Impact Model'!$D$15:$L$340,MATCH(D135&amp;E135,'Impact Model'!$D$15:$D$340&amp;'Impact Model'!$E$15:$E$340,0),8)</f>
        <v>#N/A</v>
      </c>
      <c r="R135" s="4" t="str">
        <f>IF(K135="Choose option", "Not calculated",IF(K135="Finite end point",SUM(P135:Q135),IF(COUNTIF(#REF!,"&gt;=0")&lt;1,INDEX(#REF!,1,COUNT(#REF!)),INDEX(#REF!,1,MATCH(TRUE,INDEX(#REF!&gt;=0,1,0),)))))</f>
        <v>Not calculated</v>
      </c>
      <c r="S135" s="16"/>
      <c r="T135" s="4" t="str">
        <f>IF(R135="Not calculated","Not calculated",SUM(R135:R139)/ROUND(COUNTIF(R135:R139,"&gt;0")+COUNTIF(R135:R139,"&lt;0"),0))</f>
        <v>Not calculated</v>
      </c>
      <c r="U135" s="113"/>
      <c r="AF135" s="32"/>
      <c r="AG135" s="27"/>
      <c r="BF135" s="32"/>
    </row>
    <row r="136" spans="2:58" ht="44.1" customHeight="1" thickBot="1">
      <c r="B136" s="17"/>
      <c r="C136" s="17"/>
      <c r="D136" s="11" t="str">
        <f>CONCATENATE($B135,"b")</f>
        <v>0.16b</v>
      </c>
      <c r="E136" s="21">
        <f>VLOOKUP(D136,'Impact Model'!$D$15:$L$340,2,FALSE)</f>
        <v>0</v>
      </c>
      <c r="F136" s="21" t="e">
        <f t="array" ref="F136">INDEX('Impact Model'!$D$15:$F$340,MATCH(D136&amp;E136,'Impact Model'!$D$15:$D$340&amp;'Impact Model'!$E$15:$E$340,0),3)</f>
        <v>#N/A</v>
      </c>
      <c r="G136" s="21" t="e">
        <f t="array" ref="G136">INDEX('Impact Model'!$D$15:$H$340,MATCH(D136&amp;E136,'Impact Model'!$D$15:$D$340&amp;'Impact Model'!$E$15:$E$340,0),5)</f>
        <v>#N/A</v>
      </c>
      <c r="H136" s="93"/>
      <c r="I136" s="94"/>
      <c r="J136" s="142" t="s">
        <v>67</v>
      </c>
      <c r="K136" s="142" t="s">
        <v>77</v>
      </c>
      <c r="L136" s="143" t="b">
        <f>IF(K136="Finite end point","Continue to Column M",IF(K136="Five yearly time-step","Switch to Offset Model_5 yearly"))</f>
        <v>0</v>
      </c>
      <c r="M136" s="70"/>
      <c r="N136" s="70"/>
      <c r="O136" s="70"/>
      <c r="P136" s="4" t="str">
        <f t="shared" ref="P136:P139" si="14">IF(K136="Finite end point",IFERROR(IF(ISBLANK(O136),"",((IF($J136="Low confidence &gt;50% &lt;75%",(IF(N136&lt;$G136,N136/$G136,1)-IF(M136&lt;$G136,M136/$G136,1))*0.62,IF($J136="Confident 75-90%",(IF(N136&lt;$G136,N136/$G136,1)-IF(M136&lt;$G136,M136/$G136,1))*0.825,IF($J136="Very confident &gt;90%",(IF(N136&lt;$G136,N136/$G136,1)-IF(M136&lt;$G136,M136/$G136,1))*0.955)))))/(1+$E$11)^O136)*(I136),"Not calculated"),"Not calculated")</f>
        <v>Not calculated</v>
      </c>
      <c r="Q136" s="4" t="e">
        <f t="array" ref="Q136">INDEX('Impact Model'!$D$15:$L$340,MATCH(D136&amp;E136,'Impact Model'!$D$15:$D$340&amp;'Impact Model'!$E$15:$E$340,0),8)</f>
        <v>#N/A</v>
      </c>
      <c r="R136" s="4" t="str">
        <f>IF(K136="Choose option", "Not calculated",IF(K136="Finite end point",SUM(P136:Q136),IF(COUNTIF(#REF!,"&gt;=0")&lt;1,INDEX(#REF!,1,COUNT(#REF!)),INDEX(#REF!,1,MATCH(TRUE,INDEX(#REF!&gt;=0,1,0),)))))</f>
        <v>Not calculated</v>
      </c>
      <c r="S136" s="18"/>
      <c r="T136" s="3"/>
      <c r="AF136" s="13"/>
      <c r="AG136"/>
      <c r="BF136" s="13"/>
    </row>
    <row r="137" spans="2:58" ht="44.1" customHeight="1" thickBot="1">
      <c r="B137" s="19"/>
      <c r="C137" s="19"/>
      <c r="D137" s="11" t="str">
        <f>CONCATENATE($B135,"c")</f>
        <v>0.16c</v>
      </c>
      <c r="E137" s="21">
        <f>VLOOKUP(D137,'Impact Model'!$D$15:$L$340,2,FALSE)</f>
        <v>0</v>
      </c>
      <c r="F137" s="21" t="e">
        <f t="array" ref="F137">INDEX('Impact Model'!$D$15:$F$340,MATCH(D137&amp;E137,'Impact Model'!$D$15:$D$340&amp;'Impact Model'!$E$15:$E$340,0),3)</f>
        <v>#N/A</v>
      </c>
      <c r="G137" s="21" t="e">
        <f t="array" ref="G137">INDEX('Impact Model'!$D$15:$H$340,MATCH(D137&amp;E137,'Impact Model'!$D$15:$D$340&amp;'Impact Model'!$E$15:$E$340,0),5)</f>
        <v>#N/A</v>
      </c>
      <c r="H137" s="93"/>
      <c r="I137" s="94"/>
      <c r="J137" s="142" t="s">
        <v>67</v>
      </c>
      <c r="K137" s="142" t="s">
        <v>77</v>
      </c>
      <c r="L137" s="143" t="b">
        <f>IF(K137="Finite end point","Continue to Column M",IF(K137="Five yearly time-step","Switch to Offset Model_5 yearly"))</f>
        <v>0</v>
      </c>
      <c r="M137" s="70"/>
      <c r="N137" s="70"/>
      <c r="O137" s="70"/>
      <c r="P137" s="4" t="str">
        <f t="shared" si="14"/>
        <v>Not calculated</v>
      </c>
      <c r="Q137" s="4" t="e">
        <f t="array" ref="Q137">INDEX('Impact Model'!$D$15:$L$340,MATCH(D137&amp;E137,'Impact Model'!$D$15:$D$340&amp;'Impact Model'!$E$15:$E$340,0),8)</f>
        <v>#N/A</v>
      </c>
      <c r="R137" s="4" t="str">
        <f>IF(K137="Choose option", "Not calculated",IF(K137="Finite end point",SUM(P137:Q137),IF(COUNTIF(#REF!,"&gt;=0")&lt;1,INDEX(#REF!,1,COUNT(#REF!)),INDEX(#REF!,1,MATCH(TRUE,INDEX(#REF!&gt;=0,1,0),)))))</f>
        <v>Not calculated</v>
      </c>
      <c r="S137" s="18"/>
      <c r="T137" s="121"/>
      <c r="AF137" s="13"/>
      <c r="AG137"/>
      <c r="BF137" s="13"/>
    </row>
    <row r="138" spans="2:58" ht="44.1" customHeight="1" thickBot="1">
      <c r="B138" s="19"/>
      <c r="C138" s="19"/>
      <c r="D138" s="11" t="str">
        <f>CONCATENATE($B135,"d")</f>
        <v>0.16d</v>
      </c>
      <c r="E138" s="21">
        <f>VLOOKUP(D138,'Impact Model'!$D$15:$L$340,2,FALSE)</f>
        <v>0</v>
      </c>
      <c r="F138" s="21" t="e">
        <f t="array" ref="F138">INDEX('Impact Model'!$D$15:$F$340,MATCH(D138&amp;E138,'Impact Model'!$D$15:$D$340&amp;'Impact Model'!$E$15:$E$340,0),3)</f>
        <v>#N/A</v>
      </c>
      <c r="G138" s="21" t="e">
        <f t="array" ref="G138">INDEX('Impact Model'!$D$15:$H$340,MATCH(D138&amp;E138,'Impact Model'!$D$15:$D$340&amp;'Impact Model'!$E$15:$E$340,0),5)</f>
        <v>#N/A</v>
      </c>
      <c r="H138" s="93"/>
      <c r="I138" s="94"/>
      <c r="J138" s="142" t="s">
        <v>67</v>
      </c>
      <c r="K138" s="142" t="s">
        <v>77</v>
      </c>
      <c r="L138" s="143" t="b">
        <f>IF(K138="Finite end point","Continue to Column M",IF(K138="Five yearly time-step","Switch to Offset Model_5 yearly"))</f>
        <v>0</v>
      </c>
      <c r="M138" s="70"/>
      <c r="N138" s="70"/>
      <c r="O138" s="70"/>
      <c r="P138" s="4" t="str">
        <f t="shared" si="14"/>
        <v>Not calculated</v>
      </c>
      <c r="Q138" s="4" t="e">
        <f t="array" ref="Q138">INDEX('Impact Model'!$D$15:$L$340,MATCH(D138&amp;E138,'Impact Model'!$D$15:$D$340&amp;'Impact Model'!$E$15:$E$340,0),8)</f>
        <v>#N/A</v>
      </c>
      <c r="R138" s="4" t="str">
        <f>IF(K138="Choose option", "Not calculated",IF(K138="Finite end point",SUM(P138:Q138),IF(COUNTIF(#REF!,"&gt;=0")&lt;1,INDEX(#REF!,1,COUNT(#REF!)),INDEX(#REF!,1,MATCH(TRUE,INDEX(#REF!&gt;=0,1,0),)))))</f>
        <v>Not calculated</v>
      </c>
      <c r="S138" s="18"/>
      <c r="T138" s="3"/>
      <c r="AF138" s="13"/>
      <c r="AG138"/>
      <c r="BF138" s="13"/>
    </row>
    <row r="139" spans="2:58" ht="44.1" customHeight="1" thickBot="1">
      <c r="B139" s="19"/>
      <c r="C139" s="19"/>
      <c r="D139" s="11" t="str">
        <f>CONCATENATE($B135,"e")</f>
        <v>0.16e</v>
      </c>
      <c r="E139" s="21">
        <f>VLOOKUP(D139,'Impact Model'!$D$15:$L$340,2,FALSE)</f>
        <v>0</v>
      </c>
      <c r="F139" s="21" t="e">
        <f t="array" ref="F139">INDEX('Impact Model'!$D$15:$F$340,MATCH(D139&amp;E139,'Impact Model'!$D$15:$D$340&amp;'Impact Model'!$E$15:$E$340,0),3)</f>
        <v>#N/A</v>
      </c>
      <c r="G139" s="21" t="e">
        <f t="array" ref="G139">INDEX('Impact Model'!$D$15:$H$340,MATCH(D139&amp;E139,'Impact Model'!$D$15:$D$340&amp;'Impact Model'!$E$15:$E$340,0),5)</f>
        <v>#N/A</v>
      </c>
      <c r="H139" s="93"/>
      <c r="I139" s="94"/>
      <c r="J139" s="142" t="s">
        <v>67</v>
      </c>
      <c r="K139" s="142" t="s">
        <v>77</v>
      </c>
      <c r="L139" s="143" t="b">
        <f>IF(K139="Finite end point","Continue to Column M",IF(K139="Five yearly time-step","Switch to Offset Model_5 yearly"))</f>
        <v>0</v>
      </c>
      <c r="M139" s="70"/>
      <c r="N139" s="70"/>
      <c r="O139" s="70"/>
      <c r="P139" s="4" t="str">
        <f t="shared" si="14"/>
        <v>Not calculated</v>
      </c>
      <c r="Q139" s="4" t="e">
        <f t="array" ref="Q139">INDEX('Impact Model'!$D$15:$L$340,MATCH(D139&amp;E139,'Impact Model'!$D$15:$D$340&amp;'Impact Model'!$E$15:$E$340,0),8)</f>
        <v>#N/A</v>
      </c>
      <c r="R139" s="4" t="str">
        <f>IF(K139="Choose option", "Not calculated",IF(K139="Finite end point",SUM(P139:Q139),IF(COUNTIF(#REF!,"&gt;=0")&lt;1,INDEX(#REF!,1,COUNT(#REF!)),INDEX(#REF!,1,MATCH(TRUE,INDEX(#REF!&gt;=0,1,0),)))))</f>
        <v>Not calculated</v>
      </c>
      <c r="S139" s="18"/>
      <c r="T139" s="3"/>
      <c r="AF139" s="13"/>
      <c r="AG139"/>
      <c r="BF139" s="13"/>
    </row>
    <row r="140" spans="2:58" ht="15.95" customHeight="1" thickBot="1"/>
    <row r="141" spans="2:58" s="60" customFormat="1" ht="108" customHeight="1">
      <c r="B141" s="12"/>
      <c r="C141" s="184" t="s">
        <v>47</v>
      </c>
      <c r="D141" s="185"/>
      <c r="E141" s="185"/>
      <c r="F141" s="185"/>
      <c r="G141" s="186"/>
      <c r="H141" s="184" t="s">
        <v>62</v>
      </c>
      <c r="I141" s="185"/>
      <c r="J141" s="186"/>
      <c r="K141" s="187" t="s">
        <v>44</v>
      </c>
      <c r="L141" s="188"/>
      <c r="M141" s="184" t="s">
        <v>78</v>
      </c>
      <c r="N141" s="185"/>
      <c r="O141" s="185"/>
      <c r="P141" s="185"/>
      <c r="Q141" s="185"/>
      <c r="R141" s="186"/>
      <c r="T141" s="154" t="s">
        <v>50</v>
      </c>
      <c r="AG141" s="27"/>
      <c r="BF141" s="68"/>
    </row>
    <row r="142" spans="2:58" s="60" customFormat="1" ht="62.1" customHeight="1" thickBot="1">
      <c r="C142" s="147" t="s">
        <v>4</v>
      </c>
      <c r="D142" s="191" t="s">
        <v>5</v>
      </c>
      <c r="E142" s="192"/>
      <c r="F142" s="34" t="s">
        <v>27</v>
      </c>
      <c r="G142" s="69" t="s">
        <v>33</v>
      </c>
      <c r="H142" s="33" t="s">
        <v>59</v>
      </c>
      <c r="I142" s="34" t="s">
        <v>20</v>
      </c>
      <c r="J142" s="22" t="s">
        <v>25</v>
      </c>
      <c r="K142" s="189"/>
      <c r="L142" s="190"/>
      <c r="M142" s="148" t="s">
        <v>84</v>
      </c>
      <c r="N142" s="148" t="s">
        <v>85</v>
      </c>
      <c r="O142" s="33" t="s">
        <v>45</v>
      </c>
      <c r="P142" s="34" t="s">
        <v>127</v>
      </c>
      <c r="Q142" s="35" t="s">
        <v>131</v>
      </c>
      <c r="R142" s="69" t="s">
        <v>51</v>
      </c>
      <c r="S142" s="15"/>
      <c r="T142" s="97" t="s">
        <v>52</v>
      </c>
      <c r="AF142" s="15"/>
      <c r="AG142" s="27"/>
      <c r="BF142" s="15"/>
    </row>
    <row r="143" spans="2:58" s="60" customFormat="1" ht="44.1" customHeight="1" thickBot="1">
      <c r="B143" s="11" t="str">
        <f>CONCATENATE($B$11+0.17)</f>
        <v>0.17</v>
      </c>
      <c r="C143" s="21">
        <f>VLOOKUP(B143,'Impact Model'!$B$15:$L$340,2,FALSE)</f>
        <v>0</v>
      </c>
      <c r="D143" s="11" t="str">
        <f>CONCATENATE($B143,"a")</f>
        <v>0.17a</v>
      </c>
      <c r="E143" s="21">
        <f>VLOOKUP(D143,'Impact Model'!$D$15:$L$340,2,FALSE)</f>
        <v>0</v>
      </c>
      <c r="F143" s="21" t="e">
        <f t="array" ref="F143">INDEX('Impact Model'!$D$15:$F$340,MATCH(D143&amp;E143,'Impact Model'!$D$15:$D$340&amp;'Impact Model'!$E$15:$E$340,0),3)</f>
        <v>#N/A</v>
      </c>
      <c r="G143" s="21" t="e">
        <f t="array" ref="G143">INDEX('Impact Model'!$D$15:$H$340,MATCH(D143&amp;E143,'Impact Model'!$D$15:$D$340&amp;'Impact Model'!$E$15:$E$340,0),5)</f>
        <v>#N/A</v>
      </c>
      <c r="H143" s="93"/>
      <c r="I143" s="94"/>
      <c r="J143" s="142" t="s">
        <v>67</v>
      </c>
      <c r="K143" s="142" t="s">
        <v>77</v>
      </c>
      <c r="L143" s="143" t="b">
        <f>IF(K143="Finite end point","Continue to Column M",IF(K143="Five yearly time-step","Switch to Offset Model_5 yearly"))</f>
        <v>0</v>
      </c>
      <c r="M143" s="70"/>
      <c r="N143" s="70"/>
      <c r="O143" s="70"/>
      <c r="P143" s="4" t="str">
        <f>IF(K143="Finite end point",IFERROR(IF(ISBLANK(O143),"",((IF($J143="Low confidence &gt;50% &lt;75%",(IF(N143&lt;$G143,N143/$G143,1)-IF(M143&lt;$G143,M143/$G143,1))*0.62,IF($J143="Confident 75-90%",(IF(N143&lt;$G143,N143/$G143,1)-IF(M143&lt;$G143,M143/$G143,1))*0.825,IF($J143="Very confident &gt;90%",(IF(N143&lt;$G143,N143/$G143,1)-IF(M143&lt;$G143,M143/$G143,1))*0.955)))))/(1+$E$11)^O143)*(I143),"Not calculated"),"Not calculated")</f>
        <v>Not calculated</v>
      </c>
      <c r="Q143" s="4" t="e">
        <f t="array" ref="Q143">INDEX('Impact Model'!$D$15:$L$340,MATCH(D143&amp;E143,'Impact Model'!$D$15:$D$340&amp;'Impact Model'!$E$15:$E$340,0),8)</f>
        <v>#N/A</v>
      </c>
      <c r="R143" s="4" t="str">
        <f>IF(K143="Choose option", "Not calculated",IF(K143="Finite end point",SUM(P143:Q143),IF(COUNTIF(#REF!,"&gt;=0")&lt;1,INDEX(#REF!,1,COUNT(#REF!)),INDEX(#REF!,1,MATCH(TRUE,INDEX(#REF!&gt;=0,1,0),)))))</f>
        <v>Not calculated</v>
      </c>
      <c r="S143" s="16"/>
      <c r="T143" s="4" t="str">
        <f>IF(R143="Not calculated","Not calculated",SUM(R143:R147)/ROUND(COUNTIF(R143:R147,"&gt;0")+COUNTIF(R143:R147,"&lt;0"),0))</f>
        <v>Not calculated</v>
      </c>
      <c r="U143" s="113"/>
      <c r="AF143" s="32"/>
      <c r="AG143" s="27"/>
      <c r="BF143" s="32"/>
    </row>
    <row r="144" spans="2:58" ht="44.1" customHeight="1" thickBot="1">
      <c r="B144" s="17"/>
      <c r="C144" s="17"/>
      <c r="D144" s="11" t="str">
        <f>CONCATENATE($B143,"b")</f>
        <v>0.17b</v>
      </c>
      <c r="E144" s="21">
        <f>VLOOKUP(D144,'Impact Model'!$D$15:$L$340,2,FALSE)</f>
        <v>0</v>
      </c>
      <c r="F144" s="21" t="e">
        <f t="array" ref="F144">INDEX('Impact Model'!$D$15:$F$340,MATCH(D144&amp;E144,'Impact Model'!$D$15:$D$340&amp;'Impact Model'!$E$15:$E$340,0),3)</f>
        <v>#N/A</v>
      </c>
      <c r="G144" s="21" t="e">
        <f t="array" ref="G144">INDEX('Impact Model'!$D$15:$H$340,MATCH(D144&amp;E144,'Impact Model'!$D$15:$D$340&amp;'Impact Model'!$E$15:$E$340,0),5)</f>
        <v>#N/A</v>
      </c>
      <c r="H144" s="93"/>
      <c r="I144" s="94"/>
      <c r="J144" s="142" t="s">
        <v>67</v>
      </c>
      <c r="K144" s="142" t="s">
        <v>77</v>
      </c>
      <c r="L144" s="143" t="b">
        <f>IF(K144="Finite end point","Continue to Column M",IF(K144="Five yearly time-step","Switch to Offset Model_5 yearly"))</f>
        <v>0</v>
      </c>
      <c r="M144" s="70"/>
      <c r="N144" s="70"/>
      <c r="O144" s="70"/>
      <c r="P144" s="4" t="str">
        <f t="shared" ref="P144:P147" si="15">IF(K144="Finite end point",IFERROR(IF(ISBLANK(O144),"",((IF($J144="Low confidence &gt;50% &lt;75%",(IF(N144&lt;$G144,N144/$G144,1)-IF(M144&lt;$G144,M144/$G144,1))*0.62,IF($J144="Confident 75-90%",(IF(N144&lt;$G144,N144/$G144,1)-IF(M144&lt;$G144,M144/$G144,1))*0.825,IF($J144="Very confident &gt;90%",(IF(N144&lt;$G144,N144/$G144,1)-IF(M144&lt;$G144,M144/$G144,1))*0.955)))))/(1+$E$11)^O144)*(I144),"Not calculated"),"Not calculated")</f>
        <v>Not calculated</v>
      </c>
      <c r="Q144" s="4" t="e">
        <f t="array" ref="Q144">INDEX('Impact Model'!$D$15:$L$340,MATCH(D144&amp;E144,'Impact Model'!$D$15:$D$340&amp;'Impact Model'!$E$15:$E$340,0),8)</f>
        <v>#N/A</v>
      </c>
      <c r="R144" s="4" t="str">
        <f>IF(K144="Choose option", "Not calculated",IF(K144="Finite end point",SUM(P144:Q144),IF(COUNTIF(#REF!,"&gt;=0")&lt;1,INDEX(#REF!,1,COUNT(#REF!)),INDEX(#REF!,1,MATCH(TRUE,INDEX(#REF!&gt;=0,1,0),)))))</f>
        <v>Not calculated</v>
      </c>
      <c r="S144" s="18"/>
      <c r="T144" s="3"/>
      <c r="AF144" s="13"/>
      <c r="AG144"/>
      <c r="BF144" s="13"/>
    </row>
    <row r="145" spans="2:58" ht="44.1" customHeight="1" thickBot="1">
      <c r="B145" s="19"/>
      <c r="C145" s="19"/>
      <c r="D145" s="11" t="str">
        <f>CONCATENATE($B143,"c")</f>
        <v>0.17c</v>
      </c>
      <c r="E145" s="21">
        <f>VLOOKUP(D145,'Impact Model'!$D$15:$L$340,2,FALSE)</f>
        <v>0</v>
      </c>
      <c r="F145" s="21" t="e">
        <f t="array" ref="F145">INDEX('Impact Model'!$D$15:$F$340,MATCH(D145&amp;E145,'Impact Model'!$D$15:$D$340&amp;'Impact Model'!$E$15:$E$340,0),3)</f>
        <v>#N/A</v>
      </c>
      <c r="G145" s="21" t="e">
        <f t="array" ref="G145">INDEX('Impact Model'!$D$15:$H$340,MATCH(D145&amp;E145,'Impact Model'!$D$15:$D$340&amp;'Impact Model'!$E$15:$E$340,0),5)</f>
        <v>#N/A</v>
      </c>
      <c r="H145" s="93"/>
      <c r="I145" s="94"/>
      <c r="J145" s="142" t="s">
        <v>67</v>
      </c>
      <c r="K145" s="142" t="s">
        <v>77</v>
      </c>
      <c r="L145" s="143" t="b">
        <f>IF(K145="Finite end point","Continue to Column M",IF(K145="Five yearly time-step","Switch to Offset Model_5 yearly"))</f>
        <v>0</v>
      </c>
      <c r="M145" s="70"/>
      <c r="N145" s="70"/>
      <c r="O145" s="70"/>
      <c r="P145" s="4" t="str">
        <f t="shared" si="15"/>
        <v>Not calculated</v>
      </c>
      <c r="Q145" s="4" t="e">
        <f t="array" ref="Q145">INDEX('Impact Model'!$D$15:$L$340,MATCH(D145&amp;E145,'Impact Model'!$D$15:$D$340&amp;'Impact Model'!$E$15:$E$340,0),8)</f>
        <v>#N/A</v>
      </c>
      <c r="R145" s="4" t="str">
        <f>IF(K145="Choose option", "Not calculated",IF(K145="Finite end point",SUM(P145:Q145),IF(COUNTIF(#REF!,"&gt;=0")&lt;1,INDEX(#REF!,1,COUNT(#REF!)),INDEX(#REF!,1,MATCH(TRUE,INDEX(#REF!&gt;=0,1,0),)))))</f>
        <v>Not calculated</v>
      </c>
      <c r="S145" s="18"/>
      <c r="T145" s="121"/>
      <c r="AF145" s="13"/>
      <c r="AG145"/>
      <c r="BF145" s="13"/>
    </row>
    <row r="146" spans="2:58" ht="44.1" customHeight="1" thickBot="1">
      <c r="B146" s="19"/>
      <c r="C146" s="19"/>
      <c r="D146" s="11" t="str">
        <f>CONCATENATE($B143,"d")</f>
        <v>0.17d</v>
      </c>
      <c r="E146" s="21">
        <f>VLOOKUP(D146,'Impact Model'!$D$15:$L$340,2,FALSE)</f>
        <v>0</v>
      </c>
      <c r="F146" s="21" t="e">
        <f t="array" ref="F146">INDEX('Impact Model'!$D$15:$F$340,MATCH(D146&amp;E146,'Impact Model'!$D$15:$D$340&amp;'Impact Model'!$E$15:$E$340,0),3)</f>
        <v>#N/A</v>
      </c>
      <c r="G146" s="21" t="e">
        <f t="array" ref="G146">INDEX('Impact Model'!$D$15:$H$340,MATCH(D146&amp;E146,'Impact Model'!$D$15:$D$340&amp;'Impact Model'!$E$15:$E$340,0),5)</f>
        <v>#N/A</v>
      </c>
      <c r="H146" s="93"/>
      <c r="I146" s="94"/>
      <c r="J146" s="142" t="s">
        <v>67</v>
      </c>
      <c r="K146" s="142" t="s">
        <v>77</v>
      </c>
      <c r="L146" s="143" t="b">
        <f>IF(K146="Finite end point","Continue to Column M",IF(K146="Five yearly time-step","Switch to Offset Model_5 yearly"))</f>
        <v>0</v>
      </c>
      <c r="M146" s="70"/>
      <c r="N146" s="70"/>
      <c r="O146" s="70"/>
      <c r="P146" s="4" t="str">
        <f t="shared" si="15"/>
        <v>Not calculated</v>
      </c>
      <c r="Q146" s="4" t="e">
        <f t="array" ref="Q146">INDEX('Impact Model'!$D$15:$L$340,MATCH(D146&amp;E146,'Impact Model'!$D$15:$D$340&amp;'Impact Model'!$E$15:$E$340,0),8)</f>
        <v>#N/A</v>
      </c>
      <c r="R146" s="4" t="str">
        <f>IF(K146="Choose option", "Not calculated",IF(K146="Finite end point",SUM(P146:Q146),IF(COUNTIF(#REF!,"&gt;=0")&lt;1,INDEX(#REF!,1,COUNT(#REF!)),INDEX(#REF!,1,MATCH(TRUE,INDEX(#REF!&gt;=0,1,0),)))))</f>
        <v>Not calculated</v>
      </c>
      <c r="S146" s="18"/>
      <c r="T146" s="3"/>
      <c r="AF146" s="13"/>
      <c r="AG146"/>
      <c r="BF146" s="13"/>
    </row>
    <row r="147" spans="2:58" ht="44.1" customHeight="1" thickBot="1">
      <c r="B147" s="19"/>
      <c r="C147" s="19"/>
      <c r="D147" s="11" t="str">
        <f>CONCATENATE($B143,"e")</f>
        <v>0.17e</v>
      </c>
      <c r="E147" s="21">
        <f>VLOOKUP(D147,'Impact Model'!$D$15:$L$340,2,FALSE)</f>
        <v>0</v>
      </c>
      <c r="F147" s="21" t="e">
        <f t="array" ref="F147">INDEX('Impact Model'!$D$15:$F$340,MATCH(D147&amp;E147,'Impact Model'!$D$15:$D$340&amp;'Impact Model'!$E$15:$E$340,0),3)</f>
        <v>#N/A</v>
      </c>
      <c r="G147" s="21" t="e">
        <f t="array" ref="G147">INDEX('Impact Model'!$D$15:$H$340,MATCH(D147&amp;E147,'Impact Model'!$D$15:$D$340&amp;'Impact Model'!$E$15:$E$340,0),5)</f>
        <v>#N/A</v>
      </c>
      <c r="H147" s="93"/>
      <c r="I147" s="94"/>
      <c r="J147" s="142" t="s">
        <v>67</v>
      </c>
      <c r="K147" s="142" t="s">
        <v>77</v>
      </c>
      <c r="L147" s="143" t="b">
        <f>IF(K147="Finite end point","Continue to Column M",IF(K147="Five yearly time-step","Switch to Offset Model_5 yearly"))</f>
        <v>0</v>
      </c>
      <c r="M147" s="70"/>
      <c r="N147" s="70"/>
      <c r="O147" s="70"/>
      <c r="P147" s="4" t="str">
        <f t="shared" si="15"/>
        <v>Not calculated</v>
      </c>
      <c r="Q147" s="4" t="e">
        <f t="array" ref="Q147">INDEX('Impact Model'!$D$15:$L$340,MATCH(D147&amp;E147,'Impact Model'!$D$15:$D$340&amp;'Impact Model'!$E$15:$E$340,0),8)</f>
        <v>#N/A</v>
      </c>
      <c r="R147" s="4" t="str">
        <f>IF(K147="Choose option", "Not calculated",IF(K147="Finite end point",SUM(P147:Q147),IF(COUNTIF(#REF!,"&gt;=0")&lt;1,INDEX(#REF!,1,COUNT(#REF!)),INDEX(#REF!,1,MATCH(TRUE,INDEX(#REF!&gt;=0,1,0),)))))</f>
        <v>Not calculated</v>
      </c>
      <c r="S147" s="18"/>
      <c r="T147" s="3"/>
      <c r="AF147" s="13"/>
      <c r="AG147"/>
      <c r="BF147" s="13"/>
    </row>
    <row r="148" spans="2:58" ht="15.95" customHeight="1" thickBot="1"/>
    <row r="149" spans="2:58" s="60" customFormat="1" ht="108" customHeight="1">
      <c r="B149" s="12"/>
      <c r="C149" s="184" t="s">
        <v>47</v>
      </c>
      <c r="D149" s="185"/>
      <c r="E149" s="185"/>
      <c r="F149" s="185"/>
      <c r="G149" s="186"/>
      <c r="H149" s="184" t="s">
        <v>62</v>
      </c>
      <c r="I149" s="185"/>
      <c r="J149" s="186"/>
      <c r="K149" s="187" t="s">
        <v>44</v>
      </c>
      <c r="L149" s="188"/>
      <c r="M149" s="184" t="s">
        <v>78</v>
      </c>
      <c r="N149" s="185"/>
      <c r="O149" s="185"/>
      <c r="P149" s="185"/>
      <c r="Q149" s="185"/>
      <c r="R149" s="186"/>
      <c r="T149" s="154" t="s">
        <v>50</v>
      </c>
      <c r="AG149" s="27"/>
      <c r="BF149" s="68"/>
    </row>
    <row r="150" spans="2:58" s="60" customFormat="1" ht="62.1" customHeight="1" thickBot="1">
      <c r="C150" s="147" t="s">
        <v>4</v>
      </c>
      <c r="D150" s="191" t="s">
        <v>5</v>
      </c>
      <c r="E150" s="192"/>
      <c r="F150" s="34" t="s">
        <v>27</v>
      </c>
      <c r="G150" s="69" t="s">
        <v>33</v>
      </c>
      <c r="H150" s="33" t="s">
        <v>59</v>
      </c>
      <c r="I150" s="34" t="s">
        <v>20</v>
      </c>
      <c r="J150" s="22" t="s">
        <v>25</v>
      </c>
      <c r="K150" s="189"/>
      <c r="L150" s="190"/>
      <c r="M150" s="148" t="s">
        <v>84</v>
      </c>
      <c r="N150" s="148" t="s">
        <v>85</v>
      </c>
      <c r="O150" s="33" t="s">
        <v>45</v>
      </c>
      <c r="P150" s="34" t="s">
        <v>129</v>
      </c>
      <c r="Q150" s="35" t="s">
        <v>131</v>
      </c>
      <c r="R150" s="69" t="s">
        <v>51</v>
      </c>
      <c r="S150" s="15"/>
      <c r="T150" s="97" t="s">
        <v>52</v>
      </c>
      <c r="AF150" s="15"/>
      <c r="AG150" s="27"/>
      <c r="BF150" s="15"/>
    </row>
    <row r="151" spans="2:58" s="60" customFormat="1" ht="44.1" customHeight="1" thickBot="1">
      <c r="B151" s="11" t="str">
        <f>CONCATENATE($B$11+0.18)</f>
        <v>0.18</v>
      </c>
      <c r="C151" s="21">
        <f>VLOOKUP(B151,'Impact Model'!$B$15:$L$340,2,FALSE)</f>
        <v>0</v>
      </c>
      <c r="D151" s="11" t="str">
        <f>CONCATENATE($B151,"a")</f>
        <v>0.18a</v>
      </c>
      <c r="E151" s="21">
        <f>VLOOKUP(D151,'Impact Model'!$D$15:$L$340,2,FALSE)</f>
        <v>0</v>
      </c>
      <c r="F151" s="21" t="e">
        <f t="array" ref="F151">INDEX('Impact Model'!$D$15:$F$340,MATCH(D151&amp;E151,'Impact Model'!$D$15:$D$340&amp;'Impact Model'!$E$15:$E$340,0),3)</f>
        <v>#N/A</v>
      </c>
      <c r="G151" s="21" t="e">
        <f t="array" ref="G151">INDEX('Impact Model'!$D$15:$H$340,MATCH(D151&amp;E151,'Impact Model'!$D$15:$D$340&amp;'Impact Model'!$E$15:$E$340,0),5)</f>
        <v>#N/A</v>
      </c>
      <c r="H151" s="93"/>
      <c r="I151" s="94"/>
      <c r="J151" s="142" t="s">
        <v>67</v>
      </c>
      <c r="K151" s="142" t="s">
        <v>77</v>
      </c>
      <c r="L151" s="143" t="b">
        <f>IF(K151="Finite end point","Continue to Column M",IF(K151="Five yearly time-step","Switch to Offset Model_5 yearly"))</f>
        <v>0</v>
      </c>
      <c r="M151" s="70"/>
      <c r="N151" s="70"/>
      <c r="O151" s="70"/>
      <c r="P151" s="4" t="str">
        <f>IF(K151="Finite end point",IFERROR(IF(ISBLANK(O151),"",((IF($J151="Low confidence &gt;50% &lt;75%",(IF(N151&lt;$G151,N151/$G151,1)-IF(M151&lt;$G151,M151/$G151,1))*0.62,IF($J151="Confident 75-90%",(IF(N151&lt;$G151,N151/$G151,1)-IF(M151&lt;$G151,M151/$G151,1))*0.825,IF($J151="Very confident &gt;90%",(IF(N151&lt;$G151,N151/$G151,1)-IF(M151&lt;$G151,M151/$G151,1))*0.955)))))/(1+$E$11)^O151)*(I151),"Not calculated"),"Not calculated")</f>
        <v>Not calculated</v>
      </c>
      <c r="Q151" s="4" t="e">
        <f t="array" ref="Q151">INDEX('Impact Model'!$D$15:$L$340,MATCH(D151&amp;E151,'Impact Model'!$D$15:$D$340&amp;'Impact Model'!$E$15:$E$340,0),8)</f>
        <v>#N/A</v>
      </c>
      <c r="R151" s="4" t="str">
        <f>IF(K151="Choose option", "Not calculated",IF(K151="Finite end point",SUM(P151:Q151),IF(COUNTIF(#REF!,"&gt;=0")&lt;1,INDEX(#REF!,1,COUNT(#REF!)),INDEX(#REF!,1,MATCH(TRUE,INDEX(#REF!&gt;=0,1,0),)))))</f>
        <v>Not calculated</v>
      </c>
      <c r="S151" s="16"/>
      <c r="T151" s="4" t="str">
        <f>IF(R151="Not calculated","Not calculated",SUM(R151:R155)/ROUND(COUNTIF(R151:R155,"&gt;0")+COUNTIF(R151:R155,"&lt;0"),0))</f>
        <v>Not calculated</v>
      </c>
      <c r="U151" s="113"/>
      <c r="AF151" s="32"/>
      <c r="AG151" s="27"/>
      <c r="BF151" s="32"/>
    </row>
    <row r="152" spans="2:58" ht="44.1" customHeight="1" thickBot="1">
      <c r="B152" s="17"/>
      <c r="C152" s="17"/>
      <c r="D152" s="11" t="str">
        <f>CONCATENATE($B151,"b")</f>
        <v>0.18b</v>
      </c>
      <c r="E152" s="21">
        <f>VLOOKUP(D152,'Impact Model'!$D$15:$L$340,2,FALSE)</f>
        <v>0</v>
      </c>
      <c r="F152" s="21" t="e">
        <f t="array" ref="F152">INDEX('Impact Model'!$D$15:$F$340,MATCH(D152&amp;E152,'Impact Model'!$D$15:$D$340&amp;'Impact Model'!$E$15:$E$340,0),3)</f>
        <v>#N/A</v>
      </c>
      <c r="G152" s="21" t="e">
        <f t="array" ref="G152">INDEX('Impact Model'!$D$15:$H$340,MATCH(D152&amp;E152,'Impact Model'!$D$15:$D$340&amp;'Impact Model'!$E$15:$E$340,0),5)</f>
        <v>#N/A</v>
      </c>
      <c r="H152" s="93"/>
      <c r="I152" s="94"/>
      <c r="J152" s="142" t="s">
        <v>67</v>
      </c>
      <c r="K152" s="142" t="s">
        <v>77</v>
      </c>
      <c r="L152" s="143" t="b">
        <f>IF(K152="Finite end point","Continue to Column M",IF(K152="Five yearly time-step","Switch to Offset Model_5 yearly"))</f>
        <v>0</v>
      </c>
      <c r="M152" s="70"/>
      <c r="N152" s="70"/>
      <c r="O152" s="70"/>
      <c r="P152" s="4" t="str">
        <f t="shared" ref="P152:P155" si="16">IF(K152="Finite end point",IFERROR(IF(ISBLANK(O152),"",((IF($J152="Low confidence &gt;50% &lt;75%",(IF(N152&lt;$G152,N152/$G152,1)-IF(M152&lt;$G152,M152/$G152,1))*0.62,IF($J152="Confident 75-90%",(IF(N152&lt;$G152,N152/$G152,1)-IF(M152&lt;$G152,M152/$G152,1))*0.825,IF($J152="Very confident &gt;90%",(IF(N152&lt;$G152,N152/$G152,1)-IF(M152&lt;$G152,M152/$G152,1))*0.955)))))/(1+$E$11)^O152)*(I152),"Not calculated"),"Not calculated")</f>
        <v>Not calculated</v>
      </c>
      <c r="Q152" s="4" t="e">
        <f t="array" ref="Q152">INDEX('Impact Model'!$D$15:$L$340,MATCH(D152&amp;E152,'Impact Model'!$D$15:$D$340&amp;'Impact Model'!$E$15:$E$340,0),8)</f>
        <v>#N/A</v>
      </c>
      <c r="R152" s="4" t="str">
        <f>IF(K152="Choose option", "Not calculated",IF(K152="Finite end point",SUM(P152:Q152),IF(COUNTIF(#REF!,"&gt;=0")&lt;1,INDEX(#REF!,1,COUNT(#REF!)),INDEX(#REF!,1,MATCH(TRUE,INDEX(#REF!&gt;=0,1,0),)))))</f>
        <v>Not calculated</v>
      </c>
      <c r="S152" s="18"/>
      <c r="T152" s="3"/>
      <c r="AF152" s="13"/>
      <c r="AG152"/>
      <c r="BF152" s="13"/>
    </row>
    <row r="153" spans="2:58" ht="44.1" customHeight="1" thickBot="1">
      <c r="B153" s="19"/>
      <c r="C153" s="19"/>
      <c r="D153" s="11" t="str">
        <f>CONCATENATE($B151,"c")</f>
        <v>0.18c</v>
      </c>
      <c r="E153" s="21">
        <f>VLOOKUP(D153,'Impact Model'!$D$15:$L$340,2,FALSE)</f>
        <v>0</v>
      </c>
      <c r="F153" s="21" t="e">
        <f t="array" ref="F153">INDEX('Impact Model'!$D$15:$F$340,MATCH(D153&amp;E153,'Impact Model'!$D$15:$D$340&amp;'Impact Model'!$E$15:$E$340,0),3)</f>
        <v>#N/A</v>
      </c>
      <c r="G153" s="21" t="e">
        <f t="array" ref="G153">INDEX('Impact Model'!$D$15:$H$340,MATCH(D153&amp;E153,'Impact Model'!$D$15:$D$340&amp;'Impact Model'!$E$15:$E$340,0),5)</f>
        <v>#N/A</v>
      </c>
      <c r="H153" s="93"/>
      <c r="I153" s="94"/>
      <c r="J153" s="142" t="s">
        <v>67</v>
      </c>
      <c r="K153" s="142" t="s">
        <v>77</v>
      </c>
      <c r="L153" s="143" t="b">
        <f>IF(K153="Finite end point","Continue to Column M",IF(K153="Five yearly time-step","Switch to Offset Model_5 yearly"))</f>
        <v>0</v>
      </c>
      <c r="M153" s="70"/>
      <c r="N153" s="70"/>
      <c r="O153" s="70"/>
      <c r="P153" s="4" t="str">
        <f t="shared" si="16"/>
        <v>Not calculated</v>
      </c>
      <c r="Q153" s="4" t="e">
        <f t="array" ref="Q153">INDEX('Impact Model'!$D$15:$L$340,MATCH(D153&amp;E153,'Impact Model'!$D$15:$D$340&amp;'Impact Model'!$E$15:$E$340,0),8)</f>
        <v>#N/A</v>
      </c>
      <c r="R153" s="4" t="str">
        <f>IF(K153="Choose option", "Not calculated",IF(K153="Finite end point",SUM(P153:Q153),IF(COUNTIF(#REF!,"&gt;=0")&lt;1,INDEX(#REF!,1,COUNT(#REF!)),INDEX(#REF!,1,MATCH(TRUE,INDEX(#REF!&gt;=0,1,0),)))))</f>
        <v>Not calculated</v>
      </c>
      <c r="S153" s="18"/>
      <c r="T153" s="121"/>
      <c r="AF153" s="13"/>
      <c r="AG153"/>
      <c r="BF153" s="13"/>
    </row>
    <row r="154" spans="2:58" ht="44.1" customHeight="1" thickBot="1">
      <c r="B154" s="19"/>
      <c r="C154" s="19"/>
      <c r="D154" s="11" t="str">
        <f>CONCATENATE($B151,"d")</f>
        <v>0.18d</v>
      </c>
      <c r="E154" s="21">
        <f>VLOOKUP(D154,'Impact Model'!$D$15:$L$340,2,FALSE)</f>
        <v>0</v>
      </c>
      <c r="F154" s="21" t="e">
        <f t="array" ref="F154">INDEX('Impact Model'!$D$15:$F$340,MATCH(D154&amp;E154,'Impact Model'!$D$15:$D$340&amp;'Impact Model'!$E$15:$E$340,0),3)</f>
        <v>#N/A</v>
      </c>
      <c r="G154" s="21" t="e">
        <f t="array" ref="G154">INDEX('Impact Model'!$D$15:$H$340,MATCH(D154&amp;E154,'Impact Model'!$D$15:$D$340&amp;'Impact Model'!$E$15:$E$340,0),5)</f>
        <v>#N/A</v>
      </c>
      <c r="H154" s="93"/>
      <c r="I154" s="94"/>
      <c r="J154" s="142" t="s">
        <v>67</v>
      </c>
      <c r="K154" s="142" t="s">
        <v>77</v>
      </c>
      <c r="L154" s="143" t="b">
        <f>IF(K154="Finite end point","Continue to Column M",IF(K154="Five yearly time-step","Switch to Offset Model_5 yearly"))</f>
        <v>0</v>
      </c>
      <c r="M154" s="70"/>
      <c r="N154" s="70"/>
      <c r="O154" s="70"/>
      <c r="P154" s="4" t="str">
        <f t="shared" si="16"/>
        <v>Not calculated</v>
      </c>
      <c r="Q154" s="4" t="e">
        <f t="array" ref="Q154">INDEX('Impact Model'!$D$15:$L$340,MATCH(D154&amp;E154,'Impact Model'!$D$15:$D$340&amp;'Impact Model'!$E$15:$E$340,0),8)</f>
        <v>#N/A</v>
      </c>
      <c r="R154" s="4" t="str">
        <f>IF(K154="Choose option", "Not calculated",IF(K154="Finite end point",SUM(P154:Q154),IF(COUNTIF(#REF!,"&gt;=0")&lt;1,INDEX(#REF!,1,COUNT(#REF!)),INDEX(#REF!,1,MATCH(TRUE,INDEX(#REF!&gt;=0,1,0),)))))</f>
        <v>Not calculated</v>
      </c>
      <c r="S154" s="18"/>
      <c r="T154" s="3"/>
      <c r="AF154" s="13"/>
      <c r="AG154"/>
      <c r="BF154" s="13"/>
    </row>
    <row r="155" spans="2:58" ht="44.1" customHeight="1" thickBot="1">
      <c r="B155" s="19"/>
      <c r="C155" s="19"/>
      <c r="D155" s="11" t="str">
        <f>CONCATENATE($B151,"e")</f>
        <v>0.18e</v>
      </c>
      <c r="E155" s="21">
        <f>VLOOKUP(D155,'Impact Model'!$D$15:$L$340,2,FALSE)</f>
        <v>0</v>
      </c>
      <c r="F155" s="21" t="e">
        <f t="array" ref="F155">INDEX('Impact Model'!$D$15:$F$340,MATCH(D155&amp;E155,'Impact Model'!$D$15:$D$340&amp;'Impact Model'!$E$15:$E$340,0),3)</f>
        <v>#N/A</v>
      </c>
      <c r="G155" s="21" t="e">
        <f t="array" ref="G155">INDEX('Impact Model'!$D$15:$H$340,MATCH(D155&amp;E155,'Impact Model'!$D$15:$D$340&amp;'Impact Model'!$E$15:$E$340,0),5)</f>
        <v>#N/A</v>
      </c>
      <c r="H155" s="93"/>
      <c r="I155" s="94"/>
      <c r="J155" s="142" t="s">
        <v>67</v>
      </c>
      <c r="K155" s="142" t="s">
        <v>77</v>
      </c>
      <c r="L155" s="143" t="b">
        <f>IF(K155="Finite end point","Continue to Column M",IF(K155="Five yearly time-step","Switch to Offset Model_5 yearly"))</f>
        <v>0</v>
      </c>
      <c r="M155" s="70"/>
      <c r="N155" s="70"/>
      <c r="O155" s="70"/>
      <c r="P155" s="4" t="str">
        <f t="shared" si="16"/>
        <v>Not calculated</v>
      </c>
      <c r="Q155" s="4" t="e">
        <f t="array" ref="Q155">INDEX('Impact Model'!$D$15:$L$340,MATCH(D155&amp;E155,'Impact Model'!$D$15:$D$340&amp;'Impact Model'!$E$15:$E$340,0),8)</f>
        <v>#N/A</v>
      </c>
      <c r="R155" s="4" t="str">
        <f>IF(K155="Choose option", "Not calculated",IF(K155="Finite end point",SUM(P155:Q155),IF(COUNTIF(#REF!,"&gt;=0")&lt;1,INDEX(#REF!,1,COUNT(#REF!)),INDEX(#REF!,1,MATCH(TRUE,INDEX(#REF!&gt;=0,1,0),)))))</f>
        <v>Not calculated</v>
      </c>
      <c r="S155" s="18"/>
      <c r="T155" s="3"/>
      <c r="AF155" s="13"/>
      <c r="AG155"/>
      <c r="BF155" s="13"/>
    </row>
    <row r="156" spans="2:58" ht="15.95" customHeight="1" thickBot="1"/>
    <row r="157" spans="2:58" s="60" customFormat="1" ht="108" customHeight="1">
      <c r="B157" s="12"/>
      <c r="C157" s="184" t="s">
        <v>47</v>
      </c>
      <c r="D157" s="185"/>
      <c r="E157" s="185"/>
      <c r="F157" s="185"/>
      <c r="G157" s="186"/>
      <c r="H157" s="184" t="s">
        <v>62</v>
      </c>
      <c r="I157" s="185"/>
      <c r="J157" s="186"/>
      <c r="K157" s="187" t="s">
        <v>44</v>
      </c>
      <c r="L157" s="188"/>
      <c r="M157" s="184" t="s">
        <v>78</v>
      </c>
      <c r="N157" s="185"/>
      <c r="O157" s="185"/>
      <c r="P157" s="185"/>
      <c r="Q157" s="185"/>
      <c r="R157" s="186"/>
      <c r="T157" s="154" t="s">
        <v>50</v>
      </c>
      <c r="AG157" s="27"/>
      <c r="BF157" s="68"/>
    </row>
    <row r="158" spans="2:58" s="60" customFormat="1" ht="62.1" customHeight="1" thickBot="1">
      <c r="C158" s="147" t="s">
        <v>4</v>
      </c>
      <c r="D158" s="191" t="s">
        <v>5</v>
      </c>
      <c r="E158" s="192"/>
      <c r="F158" s="34" t="s">
        <v>27</v>
      </c>
      <c r="G158" s="69" t="s">
        <v>33</v>
      </c>
      <c r="H158" s="33" t="s">
        <v>59</v>
      </c>
      <c r="I158" s="34" t="s">
        <v>20</v>
      </c>
      <c r="J158" s="22" t="s">
        <v>25</v>
      </c>
      <c r="K158" s="189"/>
      <c r="L158" s="190"/>
      <c r="M158" s="148" t="s">
        <v>84</v>
      </c>
      <c r="N158" s="148" t="s">
        <v>85</v>
      </c>
      <c r="O158" s="33" t="s">
        <v>45</v>
      </c>
      <c r="P158" s="34" t="s">
        <v>129</v>
      </c>
      <c r="Q158" s="35" t="s">
        <v>131</v>
      </c>
      <c r="R158" s="69" t="s">
        <v>51</v>
      </c>
      <c r="S158" s="15"/>
      <c r="T158" s="97" t="s">
        <v>52</v>
      </c>
      <c r="AF158" s="15"/>
      <c r="AG158" s="27"/>
      <c r="BF158" s="15"/>
    </row>
    <row r="159" spans="2:58" s="60" customFormat="1" ht="44.1" customHeight="1" thickBot="1">
      <c r="B159" s="11" t="str">
        <f>CONCATENATE($B$11+0.19)</f>
        <v>0.19</v>
      </c>
      <c r="C159" s="21">
        <f>VLOOKUP(B159,'Impact Model'!$B$15:$L$340,2,FALSE)</f>
        <v>0</v>
      </c>
      <c r="D159" s="11" t="str">
        <f>CONCATENATE($B159,"a")</f>
        <v>0.19a</v>
      </c>
      <c r="E159" s="21">
        <f>VLOOKUP(D159,'Impact Model'!$D$15:$L$340,2,FALSE)</f>
        <v>0</v>
      </c>
      <c r="F159" s="21" t="e">
        <f t="array" ref="F159">INDEX('Impact Model'!$D$15:$F$340,MATCH(D159&amp;E159,'Impact Model'!$D$15:$D$340&amp;'Impact Model'!$E$15:$E$340,0),3)</f>
        <v>#N/A</v>
      </c>
      <c r="G159" s="21" t="e">
        <f t="array" ref="G159">INDEX('Impact Model'!$D$15:$H$340,MATCH(D159&amp;E159,'Impact Model'!$D$15:$D$340&amp;'Impact Model'!$E$15:$E$340,0),5)</f>
        <v>#N/A</v>
      </c>
      <c r="H159" s="93"/>
      <c r="I159" s="94"/>
      <c r="J159" s="142" t="s">
        <v>67</v>
      </c>
      <c r="K159" s="142" t="s">
        <v>77</v>
      </c>
      <c r="L159" s="143" t="b">
        <f>IF(K159="Finite end point","Continue to Column M",IF(K159="Five yearly time-step","Switch to Offset Model_5 yearly"))</f>
        <v>0</v>
      </c>
      <c r="M159" s="70"/>
      <c r="N159" s="70"/>
      <c r="O159" s="70"/>
      <c r="P159" s="4" t="str">
        <f>IF(K159="Finite end point",IFERROR(IF(ISBLANK(O159),"",((IF($J159="Low confidence &gt;50% &lt;75%",(IF(N159&lt;$G159,N159/$G159,1)-IF(M159&lt;$G159,M159/$G159,1))*0.62,IF($J159="Confident 75-90%",(IF(N159&lt;$G159,N159/$G159,1)-IF(M159&lt;$G159,M159/$G159,1))*0.825,IF($J159="Very confident &gt;90%",(IF(N159&lt;$G159,N159/$G159,1)-IF(M159&lt;$G159,M159/$G159,1))*0.955)))))/(1+$E$11)^O159)*(I159),"Not calculated"),"Not calculated")</f>
        <v>Not calculated</v>
      </c>
      <c r="Q159" s="4" t="e">
        <f t="array" ref="Q159">INDEX('Impact Model'!$D$15:$L$340,MATCH(D159&amp;E159,'Impact Model'!$D$15:$D$340&amp;'Impact Model'!$E$15:$E$340,0),8)</f>
        <v>#N/A</v>
      </c>
      <c r="R159" s="4" t="str">
        <f>IF(K159="Choose option", "Not calculated",IF(K159="Finite end point",SUM(P159:Q159),IF(COUNTIF(#REF!,"&gt;=0")&lt;1,INDEX(#REF!,1,COUNT(#REF!)),INDEX(#REF!,1,MATCH(TRUE,INDEX(#REF!&gt;=0,1,0),)))))</f>
        <v>Not calculated</v>
      </c>
      <c r="S159" s="16"/>
      <c r="T159" s="4" t="str">
        <f>IF(R159="Not calculated","Not calculated",SUM(R159:R163)/ROUND(COUNTIF(R159:R163,"&gt;0")+COUNTIF(R159:R163,"&lt;0"),0))</f>
        <v>Not calculated</v>
      </c>
      <c r="U159" s="113"/>
      <c r="AF159" s="32"/>
      <c r="AG159" s="27"/>
      <c r="BF159" s="32"/>
    </row>
    <row r="160" spans="2:58" ht="44.1" customHeight="1" thickBot="1">
      <c r="B160" s="17"/>
      <c r="C160" s="17"/>
      <c r="D160" s="11" t="str">
        <f>CONCATENATE($B159,"b")</f>
        <v>0.19b</v>
      </c>
      <c r="E160" s="21">
        <f>VLOOKUP(D160,'Impact Model'!$D$15:$L$340,2,FALSE)</f>
        <v>0</v>
      </c>
      <c r="F160" s="21" t="e">
        <f t="array" ref="F160">INDEX('Impact Model'!$D$15:$F$340,MATCH(D160&amp;E160,'Impact Model'!$D$15:$D$340&amp;'Impact Model'!$E$15:$E$340,0),3)</f>
        <v>#N/A</v>
      </c>
      <c r="G160" s="21" t="e">
        <f t="array" ref="G160">INDEX('Impact Model'!$D$15:$H$340,MATCH(D160&amp;E160,'Impact Model'!$D$15:$D$340&amp;'Impact Model'!$E$15:$E$340,0),5)</f>
        <v>#N/A</v>
      </c>
      <c r="H160" s="93"/>
      <c r="I160" s="94"/>
      <c r="J160" s="142" t="s">
        <v>67</v>
      </c>
      <c r="K160" s="142" t="s">
        <v>77</v>
      </c>
      <c r="L160" s="143" t="b">
        <f>IF(K160="Finite end point","Continue to Column M",IF(K160="Five yearly time-step","Switch to Offset Model_5 yearly"))</f>
        <v>0</v>
      </c>
      <c r="M160" s="70"/>
      <c r="N160" s="70"/>
      <c r="O160" s="70"/>
      <c r="P160" s="4" t="str">
        <f t="shared" ref="P160:P163" si="17">IF(K160="Finite end point",IFERROR(IF(ISBLANK(O160),"",((IF($J160="Low confidence &gt;50% &lt;75%",(IF(N160&lt;$G160,N160/$G160,1)-IF(M160&lt;$G160,M160/$G160,1))*0.62,IF($J160="Confident 75-90%",(IF(N160&lt;$G160,N160/$G160,1)-IF(M160&lt;$G160,M160/$G160,1))*0.825,IF($J160="Very confident &gt;90%",(IF(N160&lt;$G160,N160/$G160,1)-IF(M160&lt;$G160,M160/$G160,1))*0.955)))))/(1+$E$11)^O160)*(I160),"Not calculated"),"Not calculated")</f>
        <v>Not calculated</v>
      </c>
      <c r="Q160" s="4" t="e">
        <f t="array" ref="Q160">INDEX('Impact Model'!$D$15:$L$340,MATCH(D160&amp;E160,'Impact Model'!$D$15:$D$340&amp;'Impact Model'!$E$15:$E$340,0),8)</f>
        <v>#N/A</v>
      </c>
      <c r="R160" s="4" t="str">
        <f>IF(K160="Choose option", "Not calculated",IF(K160="Finite end point",SUM(P160:Q160),IF(COUNTIF(#REF!,"&gt;=0")&lt;1,INDEX(#REF!,1,COUNT(#REF!)),INDEX(#REF!,1,MATCH(TRUE,INDEX(#REF!&gt;=0,1,0),)))))</f>
        <v>Not calculated</v>
      </c>
      <c r="S160" s="18"/>
      <c r="T160" s="3"/>
      <c r="AF160" s="13"/>
      <c r="AG160"/>
      <c r="BF160" s="13"/>
    </row>
    <row r="161" spans="2:58" ht="44.1" customHeight="1" thickBot="1">
      <c r="B161" s="19"/>
      <c r="C161" s="19"/>
      <c r="D161" s="11" t="str">
        <f>CONCATENATE($B159,"c")</f>
        <v>0.19c</v>
      </c>
      <c r="E161" s="21">
        <f>VLOOKUP(D161,'Impact Model'!$D$15:$L$340,2,FALSE)</f>
        <v>0</v>
      </c>
      <c r="F161" s="21" t="e">
        <f t="array" ref="F161">INDEX('Impact Model'!$D$15:$F$340,MATCH(D161&amp;E161,'Impact Model'!$D$15:$D$340&amp;'Impact Model'!$E$15:$E$340,0),3)</f>
        <v>#N/A</v>
      </c>
      <c r="G161" s="21" t="e">
        <f t="array" ref="G161">INDEX('Impact Model'!$D$15:$H$340,MATCH(D161&amp;E161,'Impact Model'!$D$15:$D$340&amp;'Impact Model'!$E$15:$E$340,0),5)</f>
        <v>#N/A</v>
      </c>
      <c r="H161" s="93"/>
      <c r="I161" s="94"/>
      <c r="J161" s="142" t="s">
        <v>67</v>
      </c>
      <c r="K161" s="142" t="s">
        <v>77</v>
      </c>
      <c r="L161" s="143" t="b">
        <f>IF(K161="Finite end point","Continue to Column M",IF(K161="Five yearly time-step","Switch to Offset Model_5 yearly"))</f>
        <v>0</v>
      </c>
      <c r="M161" s="70"/>
      <c r="N161" s="70"/>
      <c r="O161" s="70"/>
      <c r="P161" s="4" t="str">
        <f t="shared" si="17"/>
        <v>Not calculated</v>
      </c>
      <c r="Q161" s="4" t="e">
        <f t="array" ref="Q161">INDEX('Impact Model'!$D$15:$L$340,MATCH(D161&amp;E161,'Impact Model'!$D$15:$D$340&amp;'Impact Model'!$E$15:$E$340,0),8)</f>
        <v>#N/A</v>
      </c>
      <c r="R161" s="4" t="str">
        <f>IF(K161="Choose option", "Not calculated",IF(K161="Finite end point",SUM(P161:Q161),IF(COUNTIF(#REF!,"&gt;=0")&lt;1,INDEX(#REF!,1,COUNT(#REF!)),INDEX(#REF!,1,MATCH(TRUE,INDEX(#REF!&gt;=0,1,0),)))))</f>
        <v>Not calculated</v>
      </c>
      <c r="S161" s="18"/>
      <c r="T161" s="121"/>
      <c r="AF161" s="13"/>
      <c r="AG161"/>
      <c r="BF161" s="13"/>
    </row>
    <row r="162" spans="2:58" ht="44.1" customHeight="1" thickBot="1">
      <c r="B162" s="19"/>
      <c r="C162" s="19"/>
      <c r="D162" s="11" t="str">
        <f>CONCATENATE($B159,"d")</f>
        <v>0.19d</v>
      </c>
      <c r="E162" s="21">
        <f>VLOOKUP(D162,'Impact Model'!$D$15:$L$340,2,FALSE)</f>
        <v>0</v>
      </c>
      <c r="F162" s="21" t="e">
        <f t="array" ref="F162">INDEX('Impact Model'!$D$15:$F$340,MATCH(D162&amp;E162,'Impact Model'!$D$15:$D$340&amp;'Impact Model'!$E$15:$E$340,0),3)</f>
        <v>#N/A</v>
      </c>
      <c r="G162" s="21" t="e">
        <f t="array" ref="G162">INDEX('Impact Model'!$D$15:$H$340,MATCH(D162&amp;E162,'Impact Model'!$D$15:$D$340&amp;'Impact Model'!$E$15:$E$340,0),5)</f>
        <v>#N/A</v>
      </c>
      <c r="H162" s="93"/>
      <c r="I162" s="94"/>
      <c r="J162" s="142" t="s">
        <v>67</v>
      </c>
      <c r="K162" s="142" t="s">
        <v>77</v>
      </c>
      <c r="L162" s="143" t="b">
        <f>IF(K162="Finite end point","Continue to Column M",IF(K162="Five yearly time-step","Switch to Offset Model_5 yearly"))</f>
        <v>0</v>
      </c>
      <c r="M162" s="70"/>
      <c r="N162" s="70"/>
      <c r="O162" s="70"/>
      <c r="P162" s="4" t="str">
        <f t="shared" si="17"/>
        <v>Not calculated</v>
      </c>
      <c r="Q162" s="4" t="e">
        <f t="array" ref="Q162">INDEX('Impact Model'!$D$15:$L$340,MATCH(D162&amp;E162,'Impact Model'!$D$15:$D$340&amp;'Impact Model'!$E$15:$E$340,0),8)</f>
        <v>#N/A</v>
      </c>
      <c r="R162" s="4" t="str">
        <f>IF(K162="Choose option", "Not calculated",IF(K162="Finite end point",SUM(P162:Q162),IF(COUNTIF(#REF!,"&gt;=0")&lt;1,INDEX(#REF!,1,COUNT(#REF!)),INDEX(#REF!,1,MATCH(TRUE,INDEX(#REF!&gt;=0,1,0),)))))</f>
        <v>Not calculated</v>
      </c>
      <c r="S162" s="18"/>
      <c r="T162" s="3"/>
      <c r="AF162" s="13"/>
      <c r="AG162"/>
      <c r="BF162" s="13"/>
    </row>
    <row r="163" spans="2:58" ht="44.1" customHeight="1" thickBot="1">
      <c r="B163" s="19"/>
      <c r="C163" s="19"/>
      <c r="D163" s="11" t="str">
        <f>CONCATENATE($B159,"e")</f>
        <v>0.19e</v>
      </c>
      <c r="E163" s="21">
        <f>VLOOKUP(D163,'Impact Model'!$D$15:$L$340,2,FALSE)</f>
        <v>0</v>
      </c>
      <c r="F163" s="21" t="e">
        <f t="array" ref="F163">INDEX('Impact Model'!$D$15:$F$340,MATCH(D163&amp;E163,'Impact Model'!$D$15:$D$340&amp;'Impact Model'!$E$15:$E$340,0),3)</f>
        <v>#N/A</v>
      </c>
      <c r="G163" s="21" t="e">
        <f t="array" ref="G163">INDEX('Impact Model'!$D$15:$H$340,MATCH(D163&amp;E163,'Impact Model'!$D$15:$D$340&amp;'Impact Model'!$E$15:$E$340,0),5)</f>
        <v>#N/A</v>
      </c>
      <c r="H163" s="93"/>
      <c r="I163" s="94"/>
      <c r="J163" s="142" t="s">
        <v>67</v>
      </c>
      <c r="K163" s="142" t="s">
        <v>77</v>
      </c>
      <c r="L163" s="143" t="b">
        <f>IF(K163="Finite end point","Continue to Column M",IF(K163="Five yearly time-step","Switch to Offset Model_5 yearly"))</f>
        <v>0</v>
      </c>
      <c r="M163" s="70"/>
      <c r="N163" s="70"/>
      <c r="O163" s="70"/>
      <c r="P163" s="4" t="str">
        <f t="shared" si="17"/>
        <v>Not calculated</v>
      </c>
      <c r="Q163" s="4" t="e">
        <f t="array" ref="Q163">INDEX('Impact Model'!$D$15:$L$340,MATCH(D163&amp;E163,'Impact Model'!$D$15:$D$340&amp;'Impact Model'!$E$15:$E$340,0),8)</f>
        <v>#N/A</v>
      </c>
      <c r="R163" s="4" t="str">
        <f>IF(K163="Choose option", "Not calculated",IF(K163="Finite end point",SUM(P163:Q163),IF(COUNTIF(#REF!,"&gt;=0")&lt;1,INDEX(#REF!,1,COUNT(#REF!)),INDEX(#REF!,1,MATCH(TRUE,INDEX(#REF!&gt;=0,1,0),)))))</f>
        <v>Not calculated</v>
      </c>
      <c r="S163" s="18"/>
      <c r="T163" s="3"/>
      <c r="AF163" s="13"/>
      <c r="AG163"/>
      <c r="BF163" s="13"/>
    </row>
    <row r="164" spans="2:58" ht="15.95" customHeight="1" thickBot="1"/>
    <row r="165" spans="2:58" s="60" customFormat="1" ht="108" customHeight="1">
      <c r="B165" s="12"/>
      <c r="C165" s="184" t="s">
        <v>47</v>
      </c>
      <c r="D165" s="185"/>
      <c r="E165" s="185"/>
      <c r="F165" s="185"/>
      <c r="G165" s="186"/>
      <c r="H165" s="184" t="s">
        <v>62</v>
      </c>
      <c r="I165" s="185"/>
      <c r="J165" s="186"/>
      <c r="K165" s="187" t="s">
        <v>44</v>
      </c>
      <c r="L165" s="188"/>
      <c r="M165" s="184" t="s">
        <v>78</v>
      </c>
      <c r="N165" s="185"/>
      <c r="O165" s="185"/>
      <c r="P165" s="185"/>
      <c r="Q165" s="185"/>
      <c r="R165" s="186"/>
      <c r="T165" s="154" t="s">
        <v>50</v>
      </c>
      <c r="AG165" s="27"/>
      <c r="BF165" s="68"/>
    </row>
    <row r="166" spans="2:58" s="60" customFormat="1" ht="62.1" customHeight="1" thickBot="1">
      <c r="C166" s="147" t="s">
        <v>4</v>
      </c>
      <c r="D166" s="191" t="s">
        <v>5</v>
      </c>
      <c r="E166" s="192"/>
      <c r="F166" s="34" t="s">
        <v>27</v>
      </c>
      <c r="G166" s="69" t="s">
        <v>33</v>
      </c>
      <c r="H166" s="33" t="s">
        <v>59</v>
      </c>
      <c r="I166" s="34" t="s">
        <v>20</v>
      </c>
      <c r="J166" s="22" t="s">
        <v>25</v>
      </c>
      <c r="K166" s="189"/>
      <c r="L166" s="190"/>
      <c r="M166" s="148" t="s">
        <v>84</v>
      </c>
      <c r="N166" s="148" t="s">
        <v>85</v>
      </c>
      <c r="O166" s="33" t="s">
        <v>45</v>
      </c>
      <c r="P166" s="34" t="s">
        <v>129</v>
      </c>
      <c r="Q166" s="35" t="s">
        <v>131</v>
      </c>
      <c r="R166" s="69" t="s">
        <v>51</v>
      </c>
      <c r="S166" s="15"/>
      <c r="T166" s="97" t="s">
        <v>52</v>
      </c>
      <c r="AF166" s="15"/>
      <c r="AG166" s="27"/>
      <c r="BF166" s="15"/>
    </row>
    <row r="167" spans="2:58" s="60" customFormat="1" ht="44.1" customHeight="1" thickBot="1">
      <c r="B167" s="11" t="str">
        <f>$B$11&amp;TEXT(".20",".00")</f>
        <v>0.20</v>
      </c>
      <c r="C167" s="21" t="e">
        <f>VLOOKUP(B167,'Impact Model'!$B$15:$L$340,2,FALSE)</f>
        <v>#N/A</v>
      </c>
      <c r="D167" s="11" t="str">
        <f>CONCATENATE($B167,"a")</f>
        <v>0.20a</v>
      </c>
      <c r="E167" s="21" t="e">
        <f>VLOOKUP(D167,'Impact Model'!$D$15:$L$340,2,FALSE)</f>
        <v>#N/A</v>
      </c>
      <c r="F167" s="21" t="e">
        <f t="array" ref="F167">INDEX('Impact Model'!$D$15:$F$340,MATCH(D167&amp;E167,'Impact Model'!$D$15:$D$340&amp;'Impact Model'!$E$15:$E$340,0),3)</f>
        <v>#N/A</v>
      </c>
      <c r="G167" s="21" t="e">
        <f t="array" ref="G167">INDEX('Impact Model'!$D$15:$H$340,MATCH(D167&amp;E167,'Impact Model'!$D$15:$D$340&amp;'Impact Model'!$E$15:$E$340,0),5)</f>
        <v>#N/A</v>
      </c>
      <c r="H167" s="93"/>
      <c r="I167" s="94"/>
      <c r="J167" s="142" t="s">
        <v>67</v>
      </c>
      <c r="K167" s="142" t="s">
        <v>77</v>
      </c>
      <c r="L167" s="143" t="b">
        <f>IF(K167="Finite end point","Continue to Column M",IF(K167="Five yearly time-step","Switch to Offset Model_5 yearly"))</f>
        <v>0</v>
      </c>
      <c r="M167" s="70"/>
      <c r="N167" s="70"/>
      <c r="O167" s="70"/>
      <c r="P167" s="4" t="str">
        <f>IF(K167="Finite end point",IFERROR(IF(ISBLANK(O167),"",((IF($J167="Low confidence &gt;50% &lt;75%",(IF(N167&lt;$G167,N167/$G167,1)-IF(M167&lt;$G167,M167/$G167,1))*0.62,IF($J167="Confident 75-90%",(IF(N167&lt;$G167,N167/$G167,1)-IF(M167&lt;$G167,M167/$G167,1))*0.825,IF($J167="Very confident &gt;90%",(IF(N167&lt;$G167,N167/$G167,1)-IF(M167&lt;$G167,M167/$G167,1))*0.955)))))/(1+$E$11)^O167)*(I167),"Not calculated"),"Not calculated")</f>
        <v>Not calculated</v>
      </c>
      <c r="Q167" s="4" t="e">
        <f t="array" ref="Q167">INDEX('Impact Model'!$D$15:$L$340,MATCH(D167&amp;E167,'Impact Model'!$D$15:$D$340&amp;'Impact Model'!$E$15:$E$340,0),8)</f>
        <v>#N/A</v>
      </c>
      <c r="R167" s="4" t="str">
        <f>IF(K167="Choose option", "Not calculated",IF(K167="Finite end point",SUM(P167:Q167),IF(COUNTIF(#REF!,"&gt;=0")&lt;1,INDEX(#REF!,1,COUNT(#REF!)),INDEX(#REF!,1,MATCH(TRUE,INDEX(#REF!&gt;=0,1,0),)))))</f>
        <v>Not calculated</v>
      </c>
      <c r="S167" s="16"/>
      <c r="T167" s="4" t="str">
        <f>IF(R167="Not calculated","Not calculated",SUM(R167:R171)/ROUND(COUNTIF(R167:R171,"&gt;0")+COUNTIF(R167:R171,"&lt;0"),0))</f>
        <v>Not calculated</v>
      </c>
      <c r="U167" s="113"/>
      <c r="AF167" s="32"/>
      <c r="AG167" s="27"/>
      <c r="BF167" s="32"/>
    </row>
    <row r="168" spans="2:58" ht="44.1" customHeight="1" thickBot="1">
      <c r="B168" s="17"/>
      <c r="C168" s="17"/>
      <c r="D168" s="11" t="str">
        <f>CONCATENATE($B167,"b")</f>
        <v>0.20b</v>
      </c>
      <c r="E168" s="21" t="e">
        <f>VLOOKUP(D168,'Impact Model'!$D$15:$L$340,2,FALSE)</f>
        <v>#N/A</v>
      </c>
      <c r="F168" s="21" t="e">
        <f t="array" ref="F168">INDEX('Impact Model'!$D$15:$F$340,MATCH(D168&amp;E168,'Impact Model'!$D$15:$D$340&amp;'Impact Model'!$E$15:$E$340,0),3)</f>
        <v>#N/A</v>
      </c>
      <c r="G168" s="21" t="e">
        <f t="array" ref="G168">INDEX('Impact Model'!$D$15:$H$340,MATCH(D168&amp;E168,'Impact Model'!$D$15:$D$340&amp;'Impact Model'!$E$15:$E$340,0),5)</f>
        <v>#N/A</v>
      </c>
      <c r="H168" s="93"/>
      <c r="I168" s="94"/>
      <c r="J168" s="142" t="s">
        <v>67</v>
      </c>
      <c r="K168" s="142" t="s">
        <v>77</v>
      </c>
      <c r="L168" s="143" t="b">
        <f>IF(K168="Finite end point","Continue to Column M",IF(K168="Five yearly time-step","Switch to Offset Model_5 yearly"))</f>
        <v>0</v>
      </c>
      <c r="M168" s="70"/>
      <c r="N168" s="70"/>
      <c r="O168" s="70"/>
      <c r="P168" s="4" t="str">
        <f t="shared" ref="P168:P171" si="18">IF(K168="Finite end point",IFERROR(IF(ISBLANK(O168),"",((IF($J168="Low confidence &gt;50% &lt;75%",(IF(N168&lt;$G168,N168/$G168,1)-IF(M168&lt;$G168,M168/$G168,1))*0.62,IF($J168="Confident 75-90%",(IF(N168&lt;$G168,N168/$G168,1)-IF(M168&lt;$G168,M168/$G168,1))*0.825,IF($J168="Very confident &gt;90%",(IF(N168&lt;$G168,N168/$G168,1)-IF(M168&lt;$G168,M168/$G168,1))*0.955)))))/(1+$E$11)^O168)*(I168),"Not calculated"),"Not calculated")</f>
        <v>Not calculated</v>
      </c>
      <c r="Q168" s="4" t="e">
        <f t="array" ref="Q168">INDEX('Impact Model'!$D$15:$L$340,MATCH(D168&amp;E168,'Impact Model'!$D$15:$D$340&amp;'Impact Model'!$E$15:$E$340,0),8)</f>
        <v>#N/A</v>
      </c>
      <c r="R168" s="4" t="str">
        <f>IF(K168="Choose option", "Not calculated",IF(K168="Finite end point",SUM(P168:Q168),IF(COUNTIF(#REF!,"&gt;=0")&lt;1,INDEX(#REF!,1,COUNT(#REF!)),INDEX(#REF!,1,MATCH(TRUE,INDEX(#REF!&gt;=0,1,0),)))))</f>
        <v>Not calculated</v>
      </c>
      <c r="S168" s="18"/>
      <c r="T168" s="3"/>
      <c r="AF168" s="13"/>
      <c r="AG168"/>
      <c r="BF168" s="13"/>
    </row>
    <row r="169" spans="2:58" ht="44.1" customHeight="1" thickBot="1">
      <c r="B169" s="19"/>
      <c r="C169" s="19"/>
      <c r="D169" s="11" t="str">
        <f>CONCATENATE($B167,"c")</f>
        <v>0.20c</v>
      </c>
      <c r="E169" s="21" t="e">
        <f>VLOOKUP(D169,'Impact Model'!$D$15:$L$340,2,FALSE)</f>
        <v>#N/A</v>
      </c>
      <c r="F169" s="21" t="e">
        <f t="array" ref="F169">INDEX('Impact Model'!$D$15:$F$340,MATCH(D169&amp;E169,'Impact Model'!$D$15:$D$340&amp;'Impact Model'!$E$15:$E$340,0),3)</f>
        <v>#N/A</v>
      </c>
      <c r="G169" s="21" t="e">
        <f t="array" ref="G169">INDEX('Impact Model'!$D$15:$H$340,MATCH(D169&amp;E169,'Impact Model'!$D$15:$D$340&amp;'Impact Model'!$E$15:$E$340,0),5)</f>
        <v>#N/A</v>
      </c>
      <c r="H169" s="93"/>
      <c r="I169" s="94"/>
      <c r="J169" s="142" t="s">
        <v>67</v>
      </c>
      <c r="K169" s="142" t="s">
        <v>77</v>
      </c>
      <c r="L169" s="143" t="b">
        <f>IF(K169="Finite end point","Continue to Column M",IF(K169="Five yearly time-step","Switch to Offset Model_5 yearly"))</f>
        <v>0</v>
      </c>
      <c r="M169" s="70"/>
      <c r="N169" s="70"/>
      <c r="O169" s="70"/>
      <c r="P169" s="4" t="str">
        <f t="shared" si="18"/>
        <v>Not calculated</v>
      </c>
      <c r="Q169" s="4" t="e">
        <f t="array" ref="Q169">INDEX('Impact Model'!$D$15:$L$340,MATCH(D169&amp;E169,'Impact Model'!$D$15:$D$340&amp;'Impact Model'!$E$15:$E$340,0),8)</f>
        <v>#N/A</v>
      </c>
      <c r="R169" s="4" t="str">
        <f>IF(K169="Choose option", "Not calculated",IF(K169="Finite end point",SUM(P169:Q169),IF(COUNTIF(#REF!,"&gt;=0")&lt;1,INDEX(#REF!,1,COUNT(#REF!)),INDEX(#REF!,1,MATCH(TRUE,INDEX(#REF!&gt;=0,1,0),)))))</f>
        <v>Not calculated</v>
      </c>
      <c r="S169" s="18"/>
      <c r="T169" s="121"/>
      <c r="AF169" s="13"/>
      <c r="AG169"/>
      <c r="BF169" s="13"/>
    </row>
    <row r="170" spans="2:58" ht="44.1" customHeight="1" thickBot="1">
      <c r="B170" s="19"/>
      <c r="C170" s="19"/>
      <c r="D170" s="11" t="str">
        <f>CONCATENATE($B167,"d")</f>
        <v>0.20d</v>
      </c>
      <c r="E170" s="21" t="e">
        <f>VLOOKUP(D170,'Impact Model'!$D$15:$L$340,2,FALSE)</f>
        <v>#N/A</v>
      </c>
      <c r="F170" s="21" t="e">
        <f t="array" ref="F170">INDEX('Impact Model'!$D$15:$F$340,MATCH(D170&amp;E170,'Impact Model'!$D$15:$D$340&amp;'Impact Model'!$E$15:$E$340,0),3)</f>
        <v>#N/A</v>
      </c>
      <c r="G170" s="21" t="e">
        <f t="array" ref="G170">INDEX('Impact Model'!$D$15:$H$340,MATCH(D170&amp;E170,'Impact Model'!$D$15:$D$340&amp;'Impact Model'!$E$15:$E$340,0),5)</f>
        <v>#N/A</v>
      </c>
      <c r="H170" s="93"/>
      <c r="I170" s="94"/>
      <c r="J170" s="142" t="s">
        <v>67</v>
      </c>
      <c r="K170" s="142" t="s">
        <v>77</v>
      </c>
      <c r="L170" s="143" t="b">
        <f>IF(K170="Finite end point","Continue to Column M",IF(K170="Five yearly time-step","Switch to Offset Model_5 yearly"))</f>
        <v>0</v>
      </c>
      <c r="M170" s="70"/>
      <c r="N170" s="70"/>
      <c r="O170" s="70"/>
      <c r="P170" s="4" t="str">
        <f t="shared" si="18"/>
        <v>Not calculated</v>
      </c>
      <c r="Q170" s="4" t="e">
        <f t="array" ref="Q170">INDEX('Impact Model'!$D$15:$L$340,MATCH(D170&amp;E170,'Impact Model'!$D$15:$D$340&amp;'Impact Model'!$E$15:$E$340,0),8)</f>
        <v>#N/A</v>
      </c>
      <c r="R170" s="4" t="str">
        <f>IF(K170="Choose option", "Not calculated",IF(K170="Finite end point",SUM(P170:Q170),IF(COUNTIF(#REF!,"&gt;=0")&lt;1,INDEX(#REF!,1,COUNT(#REF!)),INDEX(#REF!,1,MATCH(TRUE,INDEX(#REF!&gt;=0,1,0),)))))</f>
        <v>Not calculated</v>
      </c>
      <c r="S170" s="18"/>
      <c r="T170" s="3"/>
      <c r="AF170" s="13"/>
      <c r="AG170"/>
      <c r="BF170" s="13"/>
    </row>
    <row r="171" spans="2:58" ht="44.1" customHeight="1" thickBot="1">
      <c r="B171" s="19"/>
      <c r="C171" s="19"/>
      <c r="D171" s="11" t="str">
        <f>CONCATENATE($B167,"e")</f>
        <v>0.20e</v>
      </c>
      <c r="E171" s="21" t="e">
        <f>VLOOKUP(D171,'Impact Model'!$D$15:$L$340,2,FALSE)</f>
        <v>#N/A</v>
      </c>
      <c r="F171" s="21" t="e">
        <f t="array" ref="F171">INDEX('Impact Model'!$D$15:$F$340,MATCH(D171&amp;E171,'Impact Model'!$D$15:$D$340&amp;'Impact Model'!$E$15:$E$340,0),3)</f>
        <v>#N/A</v>
      </c>
      <c r="G171" s="21" t="e">
        <f t="array" ref="G171">INDEX('Impact Model'!$D$15:$H$340,MATCH(D171&amp;E171,'Impact Model'!$D$15:$D$340&amp;'Impact Model'!$E$15:$E$340,0),5)</f>
        <v>#N/A</v>
      </c>
      <c r="H171" s="93"/>
      <c r="I171" s="94"/>
      <c r="J171" s="142" t="s">
        <v>67</v>
      </c>
      <c r="K171" s="142" t="s">
        <v>77</v>
      </c>
      <c r="L171" s="143" t="b">
        <f>IF(K171="Finite end point","Continue to Column M",IF(K171="Five yearly time-step","Switch to Offset Model_5 yearly"))</f>
        <v>0</v>
      </c>
      <c r="M171" s="70"/>
      <c r="N171" s="70"/>
      <c r="O171" s="70"/>
      <c r="P171" s="4" t="str">
        <f t="shared" si="18"/>
        <v>Not calculated</v>
      </c>
      <c r="Q171" s="4" t="e">
        <f t="array" ref="Q171">INDEX('Impact Model'!$D$15:$L$340,MATCH(D171&amp;E171,'Impact Model'!$D$15:$D$340&amp;'Impact Model'!$E$15:$E$340,0),8)</f>
        <v>#N/A</v>
      </c>
      <c r="R171" s="4" t="str">
        <f>IF(K171="Choose option", "Not calculated",IF(K171="Finite end point",SUM(P171:Q171),IF(COUNTIF(#REF!,"&gt;=0")&lt;1,INDEX(#REF!,1,COUNT(#REF!)),INDEX(#REF!,1,MATCH(TRUE,INDEX(#REF!&gt;=0,1,0),)))))</f>
        <v>Not calculated</v>
      </c>
      <c r="S171" s="18"/>
      <c r="T171" s="3"/>
      <c r="AF171" s="13"/>
      <c r="AG171"/>
      <c r="BF171" s="13"/>
    </row>
    <row r="172" spans="2:58" ht="15.95" customHeight="1" thickBot="1"/>
    <row r="173" spans="2:58" s="60" customFormat="1" ht="108" customHeight="1">
      <c r="B173" s="12"/>
      <c r="C173" s="184" t="s">
        <v>47</v>
      </c>
      <c r="D173" s="185"/>
      <c r="E173" s="185"/>
      <c r="F173" s="185"/>
      <c r="G173" s="186"/>
      <c r="H173" s="184" t="s">
        <v>62</v>
      </c>
      <c r="I173" s="185"/>
      <c r="J173" s="186"/>
      <c r="K173" s="187" t="s">
        <v>44</v>
      </c>
      <c r="L173" s="188"/>
      <c r="M173" s="184" t="s">
        <v>78</v>
      </c>
      <c r="N173" s="185"/>
      <c r="O173" s="185"/>
      <c r="P173" s="185"/>
      <c r="Q173" s="185"/>
      <c r="R173" s="186"/>
      <c r="T173" s="154" t="s">
        <v>50</v>
      </c>
      <c r="AG173" s="27"/>
      <c r="BF173" s="68"/>
    </row>
    <row r="174" spans="2:58" s="60" customFormat="1" ht="62.1" customHeight="1" thickBot="1">
      <c r="C174" s="147" t="s">
        <v>4</v>
      </c>
      <c r="D174" s="191" t="s">
        <v>5</v>
      </c>
      <c r="E174" s="192"/>
      <c r="F174" s="34" t="s">
        <v>27</v>
      </c>
      <c r="G174" s="69" t="s">
        <v>33</v>
      </c>
      <c r="H174" s="33" t="s">
        <v>59</v>
      </c>
      <c r="I174" s="34" t="s">
        <v>20</v>
      </c>
      <c r="J174" s="22" t="s">
        <v>25</v>
      </c>
      <c r="K174" s="189"/>
      <c r="L174" s="190"/>
      <c r="M174" s="148" t="s">
        <v>84</v>
      </c>
      <c r="N174" s="148" t="s">
        <v>85</v>
      </c>
      <c r="O174" s="33" t="s">
        <v>45</v>
      </c>
      <c r="P174" s="34" t="s">
        <v>129</v>
      </c>
      <c r="Q174" s="35" t="s">
        <v>131</v>
      </c>
      <c r="R174" s="69" t="s">
        <v>51</v>
      </c>
      <c r="S174" s="15"/>
      <c r="T174" s="97" t="s">
        <v>52</v>
      </c>
      <c r="AF174" s="15"/>
      <c r="AG174" s="27"/>
      <c r="BF174" s="15"/>
    </row>
    <row r="175" spans="2:58" s="60" customFormat="1" ht="44.1" customHeight="1" thickBot="1">
      <c r="B175" s="11" t="str">
        <f>CONCATENATE($B$11+0.21)</f>
        <v>0.21</v>
      </c>
      <c r="C175" s="21">
        <f>VLOOKUP(B175,'Impact Model'!$B$15:$L$340,2,FALSE)</f>
        <v>0</v>
      </c>
      <c r="D175" s="11" t="str">
        <f>CONCATENATE($B175,"a")</f>
        <v>0.21a</v>
      </c>
      <c r="E175" s="21">
        <f>VLOOKUP(D175,'Impact Model'!$D$15:$L$340,2,FALSE)</f>
        <v>0</v>
      </c>
      <c r="F175" s="21" t="e">
        <f t="array" ref="F175">INDEX('Impact Model'!$D$15:$F$340,MATCH(D175&amp;E175,'Impact Model'!$D$15:$D$340&amp;'Impact Model'!$E$15:$E$340,0),3)</f>
        <v>#N/A</v>
      </c>
      <c r="G175" s="21" t="e">
        <f t="array" ref="G175">INDEX('Impact Model'!$D$15:$H$340,MATCH(D175&amp;E175,'Impact Model'!$D$15:$D$340&amp;'Impact Model'!$E$15:$E$340,0),5)</f>
        <v>#N/A</v>
      </c>
      <c r="H175" s="93"/>
      <c r="I175" s="94"/>
      <c r="J175" s="142" t="s">
        <v>67</v>
      </c>
      <c r="K175" s="142" t="s">
        <v>77</v>
      </c>
      <c r="L175" s="143" t="b">
        <f>IF(K175="Finite end point","Continue to Column M",IF(K175="Five yearly time-step","Switch to Offset Model_5 yearly"))</f>
        <v>0</v>
      </c>
      <c r="M175" s="70"/>
      <c r="N175" s="70"/>
      <c r="O175" s="70"/>
      <c r="P175" s="4" t="str">
        <f>IF(K175="Finite end point",IFERROR(IF(ISBLANK(O175),"",((IF($J175="Low confidence &gt;50% &lt;75%",(IF(N175&lt;$G175,N175/$G175,1)-IF(M175&lt;$G175,M175/$G175,1))*0.62,IF($J175="Confident 75-90%",(IF(N175&lt;$G175,N175/$G175,1)-IF(M175&lt;$G175,M175/$G175,1))*0.825,IF($J175="Very confident &gt;90%",(IF(N175&lt;$G175,N175/$G175,1)-IF(M175&lt;$G175,M175/$G175,1))*0.955)))))/(1+$E$11)^O175)*(I175),"Not calculated"),"Not calculated")</f>
        <v>Not calculated</v>
      </c>
      <c r="Q175" s="4" t="e">
        <f t="array" ref="Q175">INDEX('Impact Model'!$D$15:$L$340,MATCH(D175&amp;E175,'Impact Model'!$D$15:$D$340&amp;'Impact Model'!$E$15:$E$340,0),8)</f>
        <v>#N/A</v>
      </c>
      <c r="R175" s="4" t="str">
        <f>IF(K175="Choose option", "Not calculated",IF(K175="Finite end point",SUM(P175:Q175),IF(COUNTIF(#REF!,"&gt;=0")&lt;1,INDEX(#REF!,1,COUNT(#REF!)),INDEX(#REF!,1,MATCH(TRUE,INDEX(#REF!&gt;=0,1,0),)))))</f>
        <v>Not calculated</v>
      </c>
      <c r="S175" s="16"/>
      <c r="T175" s="4" t="str">
        <f>IF(R175="Not calculated","Not calculated",SUM(R175:R179)/ROUND(COUNTIF(R175:R179,"&gt;0")+COUNTIF(R175:R179,"&lt;0"),0))</f>
        <v>Not calculated</v>
      </c>
      <c r="U175" s="113"/>
      <c r="AF175" s="32"/>
      <c r="AG175" s="27"/>
      <c r="BF175" s="32"/>
    </row>
    <row r="176" spans="2:58" ht="44.1" customHeight="1" thickBot="1">
      <c r="B176" s="17"/>
      <c r="C176" s="17"/>
      <c r="D176" s="11" t="str">
        <f>CONCATENATE($B175,"b")</f>
        <v>0.21b</v>
      </c>
      <c r="E176" s="21">
        <f>VLOOKUP(D176,'Impact Model'!$D$15:$L$340,2,FALSE)</f>
        <v>0</v>
      </c>
      <c r="F176" s="21" t="e">
        <f t="array" ref="F176">INDEX('Impact Model'!$D$15:$F$340,MATCH(D176&amp;E176,'Impact Model'!$D$15:$D$340&amp;'Impact Model'!$E$15:$E$340,0),3)</f>
        <v>#N/A</v>
      </c>
      <c r="G176" s="21" t="e">
        <f t="array" ref="G176">INDEX('Impact Model'!$D$15:$H$340,MATCH(D176&amp;E176,'Impact Model'!$D$15:$D$340&amp;'Impact Model'!$E$15:$E$340,0),5)</f>
        <v>#N/A</v>
      </c>
      <c r="H176" s="93"/>
      <c r="I176" s="94"/>
      <c r="J176" s="142" t="s">
        <v>67</v>
      </c>
      <c r="K176" s="142" t="s">
        <v>77</v>
      </c>
      <c r="L176" s="143" t="b">
        <f>IF(K176="Finite end point","Continue to Column M",IF(K176="Five yearly time-step","Switch to Offset Model_5 yearly"))</f>
        <v>0</v>
      </c>
      <c r="M176" s="70"/>
      <c r="N176" s="70"/>
      <c r="O176" s="70"/>
      <c r="P176" s="4" t="str">
        <f t="shared" ref="P176:P178" si="19">IF(K176="Finite end point",IFERROR(IF(ISBLANK(O176),"",((IF($J176="Low confidence &gt;50% &lt;75%",(IF(N176&lt;$G176,N176/$G176,1)-IF(M176&lt;$G176,M176/$G176,1))*0.62,IF($J176="Confident 75-90%",(IF(N176&lt;$G176,N176/$G176,1)-IF(M176&lt;$G176,M176/$G176,1))*0.825,IF($J176="Very confident &gt;90%",(IF(N176&lt;$G176,N176/$G176,1)-IF(M176&lt;$G176,M176/$G176,1))*0.955)))))/(1+$E$11)^O176)*(I176),"Not calculated"),"Not calculated")</f>
        <v>Not calculated</v>
      </c>
      <c r="Q176" s="4" t="e">
        <f t="array" ref="Q176">INDEX('Impact Model'!$D$15:$L$340,MATCH(D176&amp;E176,'Impact Model'!$D$15:$D$340&amp;'Impact Model'!$E$15:$E$340,0),8)</f>
        <v>#N/A</v>
      </c>
      <c r="R176" s="4" t="str">
        <f>IF(K176="Choose option", "Not calculated",IF(K176="Finite end point",SUM(P176:Q176),IF(COUNTIF(#REF!,"&gt;=0")&lt;1,INDEX(#REF!,1,COUNT(#REF!)),INDEX(#REF!,1,MATCH(TRUE,INDEX(#REF!&gt;=0,1,0),)))))</f>
        <v>Not calculated</v>
      </c>
      <c r="S176" s="18"/>
      <c r="T176" s="3"/>
      <c r="AF176" s="13"/>
      <c r="AG176"/>
      <c r="BF176" s="13"/>
    </row>
    <row r="177" spans="2:58" ht="44.1" customHeight="1" thickBot="1">
      <c r="B177" s="19"/>
      <c r="C177" s="19"/>
      <c r="D177" s="11" t="str">
        <f>CONCATENATE($B175,"c")</f>
        <v>0.21c</v>
      </c>
      <c r="E177" s="21">
        <f>VLOOKUP(D177,'Impact Model'!$D$15:$L$340,2,FALSE)</f>
        <v>0</v>
      </c>
      <c r="F177" s="21" t="e">
        <f t="array" ref="F177">INDEX('Impact Model'!$D$15:$F$340,MATCH(D177&amp;E177,'Impact Model'!$D$15:$D$340&amp;'Impact Model'!$E$15:$E$340,0),3)</f>
        <v>#N/A</v>
      </c>
      <c r="G177" s="21" t="e">
        <f t="array" ref="G177">INDEX('Impact Model'!$D$15:$H$340,MATCH(D177&amp;E177,'Impact Model'!$D$15:$D$340&amp;'Impact Model'!$E$15:$E$340,0),5)</f>
        <v>#N/A</v>
      </c>
      <c r="H177" s="93"/>
      <c r="I177" s="94"/>
      <c r="J177" s="142" t="s">
        <v>67</v>
      </c>
      <c r="K177" s="142" t="s">
        <v>77</v>
      </c>
      <c r="L177" s="143" t="b">
        <f>IF(K177="Finite end point","Continue to Column M",IF(K177="Five yearly time-step","Switch to Offset Model_5 yearly"))</f>
        <v>0</v>
      </c>
      <c r="M177" s="70"/>
      <c r="N177" s="70"/>
      <c r="O177" s="70"/>
      <c r="P177" s="4" t="str">
        <f t="shared" si="19"/>
        <v>Not calculated</v>
      </c>
      <c r="Q177" s="4" t="e">
        <f t="array" ref="Q177">INDEX('Impact Model'!$D$15:$L$340,MATCH(D177&amp;E177,'Impact Model'!$D$15:$D$340&amp;'Impact Model'!$E$15:$E$340,0),8)</f>
        <v>#N/A</v>
      </c>
      <c r="R177" s="4" t="str">
        <f>IF(K177="Choose option", "Not calculated",IF(K177="Finite end point",SUM(P177:Q177),IF(COUNTIF(#REF!,"&gt;=0")&lt;1,INDEX(#REF!,1,COUNT(#REF!)),INDEX(#REF!,1,MATCH(TRUE,INDEX(#REF!&gt;=0,1,0),)))))</f>
        <v>Not calculated</v>
      </c>
      <c r="S177" s="18"/>
      <c r="T177" s="121"/>
      <c r="AF177" s="13"/>
      <c r="AG177"/>
      <c r="BF177" s="13"/>
    </row>
    <row r="178" spans="2:58" ht="44.1" customHeight="1" thickBot="1">
      <c r="B178" s="19"/>
      <c r="C178" s="19"/>
      <c r="D178" s="11" t="str">
        <f>CONCATENATE($B175,"d")</f>
        <v>0.21d</v>
      </c>
      <c r="E178" s="21">
        <f>VLOOKUP(D178,'Impact Model'!$D$15:$L$340,2,FALSE)</f>
        <v>0</v>
      </c>
      <c r="F178" s="21" t="e">
        <f t="array" ref="F178">INDEX('Impact Model'!$D$15:$F$340,MATCH(D178&amp;E178,'Impact Model'!$D$15:$D$340&amp;'Impact Model'!$E$15:$E$340,0),3)</f>
        <v>#N/A</v>
      </c>
      <c r="G178" s="21" t="e">
        <f t="array" ref="G178">INDEX('Impact Model'!$D$15:$H$340,MATCH(D178&amp;E178,'Impact Model'!$D$15:$D$340&amp;'Impact Model'!$E$15:$E$340,0),5)</f>
        <v>#N/A</v>
      </c>
      <c r="H178" s="93"/>
      <c r="I178" s="94"/>
      <c r="J178" s="142" t="s">
        <v>67</v>
      </c>
      <c r="K178" s="142" t="s">
        <v>77</v>
      </c>
      <c r="L178" s="143" t="b">
        <f>IF(K178="Finite end point","Continue to Column M",IF(K178="Five yearly time-step","Switch to Offset Model_5 yearly"))</f>
        <v>0</v>
      </c>
      <c r="M178" s="70"/>
      <c r="N178" s="70"/>
      <c r="O178" s="70"/>
      <c r="P178" s="4" t="str">
        <f t="shared" si="19"/>
        <v>Not calculated</v>
      </c>
      <c r="Q178" s="4" t="e">
        <f t="array" ref="Q178">INDEX('Impact Model'!$D$15:$L$340,MATCH(D178&amp;E178,'Impact Model'!$D$15:$D$340&amp;'Impact Model'!$E$15:$E$340,0),8)</f>
        <v>#N/A</v>
      </c>
      <c r="R178" s="4" t="str">
        <f>IF(K178="Choose option", "Not calculated",IF(K178="Finite end point",SUM(P178:Q178),IF(COUNTIF(#REF!,"&gt;=0")&lt;1,INDEX(#REF!,1,COUNT(#REF!)),INDEX(#REF!,1,MATCH(TRUE,INDEX(#REF!&gt;=0,1,0),)))))</f>
        <v>Not calculated</v>
      </c>
      <c r="S178" s="18"/>
      <c r="T178" s="3"/>
      <c r="AF178" s="13"/>
      <c r="AG178"/>
      <c r="BF178" s="13"/>
    </row>
    <row r="179" spans="2:58" ht="44.1" customHeight="1" thickBot="1">
      <c r="B179" s="19"/>
      <c r="C179" s="19"/>
      <c r="D179" s="11" t="str">
        <f>CONCATENATE($B175,"e")</f>
        <v>0.21e</v>
      </c>
      <c r="E179" s="21">
        <f>VLOOKUP(D179,'Impact Model'!$D$15:$L$340,2,FALSE)</f>
        <v>0</v>
      </c>
      <c r="F179" s="21" t="e">
        <f t="array" ref="F179">INDEX('Impact Model'!$D$15:$F$340,MATCH(D179&amp;E179,'Impact Model'!$D$15:$D$340&amp;'Impact Model'!$E$15:$E$340,0),3)</f>
        <v>#N/A</v>
      </c>
      <c r="G179" s="21" t="e">
        <f t="array" ref="G179">INDEX('Impact Model'!$D$15:$H$340,MATCH(D179&amp;E179,'Impact Model'!$D$15:$D$340&amp;'Impact Model'!$E$15:$E$340,0),5)</f>
        <v>#N/A</v>
      </c>
      <c r="H179" s="93"/>
      <c r="I179" s="94"/>
      <c r="J179" s="142" t="s">
        <v>67</v>
      </c>
      <c r="K179" s="142" t="s">
        <v>77</v>
      </c>
      <c r="L179" s="143" t="b">
        <f>IF(K179="Finite end point","Continue to Column M",IF(K179="Five yearly time-step","Switch to Offset Model_5 yearly"))</f>
        <v>0</v>
      </c>
      <c r="M179" s="70"/>
      <c r="N179" s="70"/>
      <c r="O179" s="70"/>
      <c r="P179" s="4" t="str">
        <f t="shared" ref="P179" si="20">IF(K179="Finite end point",IFERROR(IF(ISBLANK(O179),"",((IF($J179="Low confidence &gt;50% &lt;75%",(IF(N179&lt;$G179,N179/$G179,1)-IF(M179&lt;$G179,M179/$G179,1))*0.62,IF($J179="Confident 75-90%",(IF(N179&lt;$G179,N179/$G179,1)-IF(M179&lt;$G179,M179/$G179,1))*0.825,IF($J179="Very confident &gt;90%",(IF(N179&lt;$G179,N179/$G179,1)-IF(M179&lt;$G179,M179/$G179,1))*0.955)))))/(1+$E$11)^O179)*(I179),"Not calculated"),"Not calculated")</f>
        <v>Not calculated</v>
      </c>
      <c r="Q179" s="4" t="e">
        <f t="array" ref="Q179">INDEX('Impact Model'!$D$15:$L$340,MATCH(D179&amp;E179,'Impact Model'!$D$15:$D$340&amp;'Impact Model'!$E$15:$E$340,0),8)</f>
        <v>#N/A</v>
      </c>
      <c r="R179" s="4" t="str">
        <f>IF(K179="Choose option", "Not calculated",IF(K179="Finite end point",SUM(P179:Q179),IF(COUNTIF(#REF!,"&gt;=0")&lt;1,INDEX(#REF!,1,COUNT(#REF!)),INDEX(#REF!,1,MATCH(TRUE,INDEX(#REF!&gt;=0,1,0),)))))</f>
        <v>Not calculated</v>
      </c>
      <c r="S179" s="18"/>
      <c r="T179" s="3"/>
      <c r="AF179" s="13"/>
      <c r="AG179"/>
      <c r="BF179" s="13"/>
    </row>
    <row r="180" spans="2:58" ht="15.95" customHeight="1" thickBot="1"/>
    <row r="181" spans="2:58" s="60" customFormat="1" ht="108" customHeight="1">
      <c r="B181" s="12"/>
      <c r="C181" s="184" t="s">
        <v>47</v>
      </c>
      <c r="D181" s="185"/>
      <c r="E181" s="185"/>
      <c r="F181" s="185"/>
      <c r="G181" s="186"/>
      <c r="H181" s="184" t="s">
        <v>62</v>
      </c>
      <c r="I181" s="185"/>
      <c r="J181" s="186"/>
      <c r="K181" s="187" t="s">
        <v>44</v>
      </c>
      <c r="L181" s="188"/>
      <c r="M181" s="184" t="s">
        <v>78</v>
      </c>
      <c r="N181" s="185"/>
      <c r="O181" s="185"/>
      <c r="P181" s="185"/>
      <c r="Q181" s="185"/>
      <c r="R181" s="186"/>
      <c r="T181" s="154" t="s">
        <v>50</v>
      </c>
      <c r="AG181" s="27"/>
      <c r="BF181" s="68"/>
    </row>
    <row r="182" spans="2:58" s="60" customFormat="1" ht="62.1" customHeight="1" thickBot="1">
      <c r="C182" s="147" t="s">
        <v>4</v>
      </c>
      <c r="D182" s="191" t="s">
        <v>5</v>
      </c>
      <c r="E182" s="192"/>
      <c r="F182" s="34" t="s">
        <v>27</v>
      </c>
      <c r="G182" s="69" t="s">
        <v>33</v>
      </c>
      <c r="H182" s="33" t="s">
        <v>59</v>
      </c>
      <c r="I182" s="34" t="s">
        <v>20</v>
      </c>
      <c r="J182" s="22" t="s">
        <v>25</v>
      </c>
      <c r="K182" s="189"/>
      <c r="L182" s="190"/>
      <c r="M182" s="148" t="s">
        <v>84</v>
      </c>
      <c r="N182" s="148" t="s">
        <v>85</v>
      </c>
      <c r="O182" s="33" t="s">
        <v>45</v>
      </c>
      <c r="P182" s="34" t="s">
        <v>129</v>
      </c>
      <c r="Q182" s="35" t="s">
        <v>131</v>
      </c>
      <c r="R182" s="69" t="s">
        <v>51</v>
      </c>
      <c r="S182" s="15"/>
      <c r="T182" s="97" t="s">
        <v>52</v>
      </c>
      <c r="AF182" s="15"/>
      <c r="AG182" s="27"/>
      <c r="BF182" s="15"/>
    </row>
    <row r="183" spans="2:58" s="60" customFormat="1" ht="44.1" customHeight="1" thickBot="1">
      <c r="B183" s="11" t="str">
        <f>CONCATENATE($B$11+0.22)</f>
        <v>0.22</v>
      </c>
      <c r="C183" s="21">
        <f>VLOOKUP(B183,'Impact Model'!$B$15:$L$340,2,FALSE)</f>
        <v>0</v>
      </c>
      <c r="D183" s="11" t="str">
        <f>CONCATENATE($B183,"a")</f>
        <v>0.22a</v>
      </c>
      <c r="E183" s="21">
        <f>VLOOKUP(D183,'Impact Model'!$D$15:$L$340,2,FALSE)</f>
        <v>0</v>
      </c>
      <c r="F183" s="21" t="e">
        <f t="array" ref="F183">INDEX('Impact Model'!$D$15:$F$340,MATCH(D183&amp;E183,'Impact Model'!$D$15:$D$340&amp;'Impact Model'!$E$15:$E$340,0),3)</f>
        <v>#N/A</v>
      </c>
      <c r="G183" s="21" t="e">
        <f t="array" ref="G183">INDEX('Impact Model'!$D$15:$H$340,MATCH(D183&amp;E183,'Impact Model'!$D$15:$D$340&amp;'Impact Model'!$E$15:$E$340,0),5)</f>
        <v>#N/A</v>
      </c>
      <c r="H183" s="93"/>
      <c r="I183" s="94"/>
      <c r="J183" s="142" t="s">
        <v>67</v>
      </c>
      <c r="K183" s="142" t="s">
        <v>77</v>
      </c>
      <c r="L183" s="143" t="b">
        <f>IF(K183="Finite end point","Continue to Column M",IF(K183="Five yearly time-step","Switch to Offset Model_5 yearly"))</f>
        <v>0</v>
      </c>
      <c r="M183" s="70"/>
      <c r="N183" s="70"/>
      <c r="O183" s="70"/>
      <c r="P183" s="4" t="str">
        <f>IF(K183="Finite end point",IFERROR(IF(ISBLANK(O183),"",((IF($J183="Low confidence &gt;50% &lt;75%",(IF(N183&lt;$G183,N183/$G183,1)-IF(M183&lt;$G183,M183/$G183,1))*0.62,IF($J183="Confident 75-90%",(IF(N183&lt;$G183,N183/$G183,1)-IF(M183&lt;$G183,M183/$G183,1))*0.825,IF($J183="Very confident &gt;90%",(IF(N183&lt;$G183,N183/$G183,1)-IF(M183&lt;$G183,M183/$G183,1))*0.955)))))/(1+$E$11)^O183)*(I183),"Not calculated"),"Not calculated")</f>
        <v>Not calculated</v>
      </c>
      <c r="Q183" s="4" t="e">
        <f t="array" ref="Q183">INDEX('Impact Model'!$D$15:$L$340,MATCH(D183&amp;E183,'Impact Model'!$D$15:$D$340&amp;'Impact Model'!$E$15:$E$340,0),8)</f>
        <v>#N/A</v>
      </c>
      <c r="R183" s="4" t="str">
        <f>IF(K183="Choose option", "Not calculated",IF(K183="Finite end point",SUM(P183:Q183),IF(COUNTIF(#REF!,"&gt;=0")&lt;1,INDEX(#REF!,1,COUNT(#REF!)),INDEX(#REF!,1,MATCH(TRUE,INDEX(#REF!&gt;=0,1,0),)))))</f>
        <v>Not calculated</v>
      </c>
      <c r="S183" s="16"/>
      <c r="T183" s="4" t="str">
        <f>IF(R183="Not calculated","Not calculated",SUM(R183:R187)/ROUND(COUNTIF(R183:R187,"&gt;0")+COUNTIF(R183:R187,"&lt;0"),0))</f>
        <v>Not calculated</v>
      </c>
      <c r="U183" s="113"/>
      <c r="AF183" s="32"/>
      <c r="AG183" s="27"/>
      <c r="BF183" s="32"/>
    </row>
    <row r="184" spans="2:58" ht="44.1" customHeight="1" thickBot="1">
      <c r="B184" s="17"/>
      <c r="C184" s="17"/>
      <c r="D184" s="11" t="str">
        <f>CONCATENATE($B183,"b")</f>
        <v>0.22b</v>
      </c>
      <c r="E184" s="21">
        <f>VLOOKUP(D184,'Impact Model'!$D$15:$L$340,2,FALSE)</f>
        <v>0</v>
      </c>
      <c r="F184" s="21" t="e">
        <f t="array" ref="F184">INDEX('Impact Model'!$D$15:$F$340,MATCH(D184&amp;E184,'Impact Model'!$D$15:$D$340&amp;'Impact Model'!$E$15:$E$340,0),3)</f>
        <v>#N/A</v>
      </c>
      <c r="G184" s="21" t="e">
        <f t="array" ref="G184">INDEX('Impact Model'!$D$15:$H$340,MATCH(D184&amp;E184,'Impact Model'!$D$15:$D$340&amp;'Impact Model'!$E$15:$E$340,0),5)</f>
        <v>#N/A</v>
      </c>
      <c r="H184" s="93"/>
      <c r="I184" s="94"/>
      <c r="J184" s="142" t="s">
        <v>67</v>
      </c>
      <c r="K184" s="142" t="s">
        <v>77</v>
      </c>
      <c r="L184" s="143" t="b">
        <f>IF(K184="Finite end point","Continue to Column M",IF(K184="Five yearly time-step","Switch to Offset Model_5 yearly"))</f>
        <v>0</v>
      </c>
      <c r="M184" s="70"/>
      <c r="N184" s="70"/>
      <c r="O184" s="70"/>
      <c r="P184" s="4" t="str">
        <f t="shared" ref="P184:P187" si="21">IF(K184="Finite end point",IFERROR(IF(ISBLANK(O184),"",((IF($J184="Low confidence &gt;50% &lt;75%",(IF(N184&lt;$G184,N184/$G184,1)-IF(M184&lt;$G184,M184/$G184,1))*0.62,IF($J184="Confident 75-90%",(IF(N184&lt;$G184,N184/$G184,1)-IF(M184&lt;$G184,M184/$G184,1))*0.825,IF($J184="Very confident &gt;90%",(IF(N184&lt;$G184,N184/$G184,1)-IF(M184&lt;$G184,M184/$G184,1))*0.955)))))/(1+$E$11)^O184)*(I184),"Not calculated"),"Not calculated")</f>
        <v>Not calculated</v>
      </c>
      <c r="Q184" s="4" t="e">
        <f t="array" ref="Q184">INDEX('Impact Model'!$D$15:$L$340,MATCH(D184&amp;E184,'Impact Model'!$D$15:$D$340&amp;'Impact Model'!$E$15:$E$340,0),8)</f>
        <v>#N/A</v>
      </c>
      <c r="R184" s="4" t="str">
        <f>IF(K184="Choose option", "Not calculated",IF(K184="Finite end point",SUM(P184:Q184),IF(COUNTIF(#REF!,"&gt;=0")&lt;1,INDEX(#REF!,1,COUNT(#REF!)),INDEX(#REF!,1,MATCH(TRUE,INDEX(#REF!&gt;=0,1,0),)))))</f>
        <v>Not calculated</v>
      </c>
      <c r="S184" s="18"/>
      <c r="T184" s="3"/>
      <c r="AF184" s="13"/>
      <c r="AG184"/>
      <c r="BF184" s="13"/>
    </row>
    <row r="185" spans="2:58" ht="44.1" customHeight="1" thickBot="1">
      <c r="B185" s="19"/>
      <c r="C185" s="19"/>
      <c r="D185" s="11" t="str">
        <f>CONCATENATE($B183,"c")</f>
        <v>0.22c</v>
      </c>
      <c r="E185" s="21">
        <f>VLOOKUP(D185,'Impact Model'!$D$15:$L$340,2,FALSE)</f>
        <v>0</v>
      </c>
      <c r="F185" s="21" t="e">
        <f t="array" ref="F185">INDEX('Impact Model'!$D$15:$F$340,MATCH(D185&amp;E185,'Impact Model'!$D$15:$D$340&amp;'Impact Model'!$E$15:$E$340,0),3)</f>
        <v>#N/A</v>
      </c>
      <c r="G185" s="21" t="e">
        <f t="array" ref="G185">INDEX('Impact Model'!$D$15:$H$340,MATCH(D185&amp;E185,'Impact Model'!$D$15:$D$340&amp;'Impact Model'!$E$15:$E$340,0),5)</f>
        <v>#N/A</v>
      </c>
      <c r="H185" s="93"/>
      <c r="I185" s="94"/>
      <c r="J185" s="142" t="s">
        <v>67</v>
      </c>
      <c r="K185" s="142" t="s">
        <v>77</v>
      </c>
      <c r="L185" s="143" t="b">
        <f>IF(K185="Finite end point","Continue to Column M",IF(K185="Five yearly time-step","Switch to Offset Model_5 yearly"))</f>
        <v>0</v>
      </c>
      <c r="M185" s="70"/>
      <c r="N185" s="70"/>
      <c r="O185" s="70"/>
      <c r="P185" s="4" t="str">
        <f t="shared" si="21"/>
        <v>Not calculated</v>
      </c>
      <c r="Q185" s="4" t="e">
        <f t="array" ref="Q185">INDEX('Impact Model'!$D$15:$L$340,MATCH(D185&amp;E185,'Impact Model'!$D$15:$D$340&amp;'Impact Model'!$E$15:$E$340,0),8)</f>
        <v>#N/A</v>
      </c>
      <c r="R185" s="4" t="str">
        <f>IF(K185="Choose option", "Not calculated",IF(K185="Finite end point",SUM(P185:Q185),IF(COUNTIF(#REF!,"&gt;=0")&lt;1,INDEX(#REF!,1,COUNT(#REF!)),INDEX(#REF!,1,MATCH(TRUE,INDEX(#REF!&gt;=0,1,0),)))))</f>
        <v>Not calculated</v>
      </c>
      <c r="S185" s="18"/>
      <c r="T185" s="121"/>
      <c r="AF185" s="13"/>
      <c r="AG185"/>
      <c r="BF185" s="13"/>
    </row>
    <row r="186" spans="2:58" ht="44.1" customHeight="1" thickBot="1">
      <c r="B186" s="19"/>
      <c r="C186" s="19"/>
      <c r="D186" s="11" t="str">
        <f>CONCATENATE($B183,"d")</f>
        <v>0.22d</v>
      </c>
      <c r="E186" s="21">
        <f>VLOOKUP(D186,'Impact Model'!$D$15:$L$340,2,FALSE)</f>
        <v>0</v>
      </c>
      <c r="F186" s="21" t="e">
        <f t="array" ref="F186">INDEX('Impact Model'!$D$15:$F$340,MATCH(D186&amp;E186,'Impact Model'!$D$15:$D$340&amp;'Impact Model'!$E$15:$E$340,0),3)</f>
        <v>#N/A</v>
      </c>
      <c r="G186" s="21" t="e">
        <f t="array" ref="G186">INDEX('Impact Model'!$D$15:$H$340,MATCH(D186&amp;E186,'Impact Model'!$D$15:$D$340&amp;'Impact Model'!$E$15:$E$340,0),5)</f>
        <v>#N/A</v>
      </c>
      <c r="H186" s="93"/>
      <c r="I186" s="94"/>
      <c r="J186" s="142" t="s">
        <v>67</v>
      </c>
      <c r="K186" s="142" t="s">
        <v>77</v>
      </c>
      <c r="L186" s="143" t="b">
        <f>IF(K186="Finite end point","Continue to Column M",IF(K186="Five yearly time-step","Switch to Offset Model_5 yearly"))</f>
        <v>0</v>
      </c>
      <c r="M186" s="70"/>
      <c r="N186" s="70"/>
      <c r="O186" s="70"/>
      <c r="P186" s="4" t="str">
        <f t="shared" si="21"/>
        <v>Not calculated</v>
      </c>
      <c r="Q186" s="4" t="e">
        <f t="array" ref="Q186">INDEX('Impact Model'!$D$15:$L$340,MATCH(D186&amp;E186,'Impact Model'!$D$15:$D$340&amp;'Impact Model'!$E$15:$E$340,0),8)</f>
        <v>#N/A</v>
      </c>
      <c r="R186" s="4" t="str">
        <f>IF(K186="Choose option", "Not calculated",IF(K186="Finite end point",SUM(P186:Q186),IF(COUNTIF(#REF!,"&gt;=0")&lt;1,INDEX(#REF!,1,COUNT(#REF!)),INDEX(#REF!,1,MATCH(TRUE,INDEX(#REF!&gt;=0,1,0),)))))</f>
        <v>Not calculated</v>
      </c>
      <c r="S186" s="18"/>
      <c r="T186" s="3"/>
      <c r="AF186" s="13"/>
      <c r="AG186"/>
      <c r="BF186" s="13"/>
    </row>
    <row r="187" spans="2:58" ht="44.1" customHeight="1" thickBot="1">
      <c r="B187" s="19"/>
      <c r="C187" s="19"/>
      <c r="D187" s="11" t="str">
        <f>CONCATENATE($B183,"e")</f>
        <v>0.22e</v>
      </c>
      <c r="E187" s="21">
        <f>VLOOKUP(D187,'Impact Model'!$D$15:$L$340,2,FALSE)</f>
        <v>0</v>
      </c>
      <c r="F187" s="21" t="e">
        <f t="array" ref="F187">INDEX('Impact Model'!$D$15:$F$340,MATCH(D187&amp;E187,'Impact Model'!$D$15:$D$340&amp;'Impact Model'!$E$15:$E$340,0),3)</f>
        <v>#N/A</v>
      </c>
      <c r="G187" s="21" t="e">
        <f t="array" ref="G187">INDEX('Impact Model'!$D$15:$H$340,MATCH(D187&amp;E187,'Impact Model'!$D$15:$D$340&amp;'Impact Model'!$E$15:$E$340,0),5)</f>
        <v>#N/A</v>
      </c>
      <c r="H187" s="93"/>
      <c r="I187" s="94"/>
      <c r="J187" s="142" t="s">
        <v>67</v>
      </c>
      <c r="K187" s="142" t="s">
        <v>77</v>
      </c>
      <c r="L187" s="143" t="b">
        <f>IF(K187="Finite end point","Continue to Column M",IF(K187="Five yearly time-step","Switch to Offset Model_5 yearly"))</f>
        <v>0</v>
      </c>
      <c r="M187" s="70"/>
      <c r="N187" s="70"/>
      <c r="O187" s="70"/>
      <c r="P187" s="4" t="str">
        <f t="shared" si="21"/>
        <v>Not calculated</v>
      </c>
      <c r="Q187" s="4" t="e">
        <f t="array" ref="Q187">INDEX('Impact Model'!$D$15:$L$340,MATCH(D187&amp;E187,'Impact Model'!$D$15:$D$340&amp;'Impact Model'!$E$15:$E$340,0),8)</f>
        <v>#N/A</v>
      </c>
      <c r="R187" s="4" t="str">
        <f>IF(K187="Choose option", "Not calculated",IF(K187="Finite end point",SUM(P187:Q187),IF(COUNTIF(#REF!,"&gt;=0")&lt;1,INDEX(#REF!,1,COUNT(#REF!)),INDEX(#REF!,1,MATCH(TRUE,INDEX(#REF!&gt;=0,1,0),)))))</f>
        <v>Not calculated</v>
      </c>
      <c r="S187" s="18"/>
      <c r="T187" s="3"/>
      <c r="AF187" s="13"/>
      <c r="AG187"/>
      <c r="BF187" s="13"/>
    </row>
    <row r="188" spans="2:58" ht="15.95" customHeight="1" thickBot="1"/>
    <row r="189" spans="2:58" s="60" customFormat="1" ht="108" customHeight="1">
      <c r="B189" s="12"/>
      <c r="C189" s="184" t="s">
        <v>47</v>
      </c>
      <c r="D189" s="185"/>
      <c r="E189" s="185"/>
      <c r="F189" s="185"/>
      <c r="G189" s="186"/>
      <c r="H189" s="184" t="s">
        <v>62</v>
      </c>
      <c r="I189" s="185"/>
      <c r="J189" s="186"/>
      <c r="K189" s="187" t="s">
        <v>44</v>
      </c>
      <c r="L189" s="188"/>
      <c r="M189" s="184" t="s">
        <v>78</v>
      </c>
      <c r="N189" s="185"/>
      <c r="O189" s="185"/>
      <c r="P189" s="185"/>
      <c r="Q189" s="185"/>
      <c r="R189" s="186"/>
      <c r="T189" s="154" t="s">
        <v>50</v>
      </c>
      <c r="AG189" s="27"/>
      <c r="BF189" s="68"/>
    </row>
    <row r="190" spans="2:58" s="60" customFormat="1" ht="62.1" customHeight="1" thickBot="1">
      <c r="C190" s="147" t="s">
        <v>4</v>
      </c>
      <c r="D190" s="191" t="s">
        <v>5</v>
      </c>
      <c r="E190" s="192"/>
      <c r="F190" s="34" t="s">
        <v>27</v>
      </c>
      <c r="G190" s="69" t="s">
        <v>33</v>
      </c>
      <c r="H190" s="33" t="s">
        <v>59</v>
      </c>
      <c r="I190" s="34" t="s">
        <v>20</v>
      </c>
      <c r="J190" s="22" t="s">
        <v>25</v>
      </c>
      <c r="K190" s="189"/>
      <c r="L190" s="190"/>
      <c r="M190" s="148" t="s">
        <v>84</v>
      </c>
      <c r="N190" s="148" t="s">
        <v>85</v>
      </c>
      <c r="O190" s="33" t="s">
        <v>45</v>
      </c>
      <c r="P190" s="34" t="s">
        <v>129</v>
      </c>
      <c r="Q190" s="35" t="s">
        <v>131</v>
      </c>
      <c r="R190" s="69" t="s">
        <v>51</v>
      </c>
      <c r="S190" s="15"/>
      <c r="T190" s="97" t="s">
        <v>52</v>
      </c>
      <c r="AF190" s="15"/>
      <c r="AG190" s="27"/>
      <c r="BF190" s="15"/>
    </row>
    <row r="191" spans="2:58" s="60" customFormat="1" ht="44.1" customHeight="1" thickBot="1">
      <c r="B191" s="11" t="str">
        <f>CONCATENATE($B$11+0.23)</f>
        <v>0.23</v>
      </c>
      <c r="C191" s="21">
        <f>VLOOKUP(B191,'Impact Model'!$B$15:$L$340,2,FALSE)</f>
        <v>0</v>
      </c>
      <c r="D191" s="11" t="str">
        <f>CONCATENATE($B191,"a")</f>
        <v>0.23a</v>
      </c>
      <c r="E191" s="21">
        <f>VLOOKUP(D191,'Impact Model'!$D$15:$L$340,2,FALSE)</f>
        <v>0</v>
      </c>
      <c r="F191" s="21" t="e">
        <f t="array" ref="F191">INDEX('Impact Model'!$D$15:$F$340,MATCH(D191&amp;E191,'Impact Model'!$D$15:$D$340&amp;'Impact Model'!$E$15:$E$340,0),3)</f>
        <v>#N/A</v>
      </c>
      <c r="G191" s="21" t="e">
        <f t="array" ref="G191">INDEX('Impact Model'!$D$15:$H$340,MATCH(D191&amp;E191,'Impact Model'!$D$15:$D$340&amp;'Impact Model'!$E$15:$E$340,0),5)</f>
        <v>#N/A</v>
      </c>
      <c r="H191" s="93"/>
      <c r="I191" s="94"/>
      <c r="J191" s="142" t="s">
        <v>67</v>
      </c>
      <c r="K191" s="142" t="s">
        <v>77</v>
      </c>
      <c r="L191" s="143" t="b">
        <f>IF(K191="Finite end point","Continue to Column M",IF(K191="Five yearly time-step","Switch to Offset Model_5 yearly"))</f>
        <v>0</v>
      </c>
      <c r="M191" s="70"/>
      <c r="N191" s="70"/>
      <c r="O191" s="70"/>
      <c r="P191" s="4" t="str">
        <f>IF(K191="Finite end point",IFERROR(IF(ISBLANK(O191),"",((IF($J191="Low confidence &gt;50% &lt;75%",(IF(N191&lt;$G191,N191/$G191,1)-IF(M191&lt;$G191,M191/$G191,1))*0.62,IF($J191="Confident 75-90%",(IF(N191&lt;$G191,N191/$G191,1)-IF(M191&lt;$G191,M191/$G191,1))*0.825,IF($J191="Very confident &gt;90%",(IF(N191&lt;$G191,N191/$G191,1)-IF(M191&lt;$G191,M191/$G191,1))*0.955)))))/(1+$E$11)^O191)*(I191),"Not calculated"),"Not calculated")</f>
        <v>Not calculated</v>
      </c>
      <c r="Q191" s="4" t="e">
        <f t="array" ref="Q191">INDEX('Impact Model'!$D$15:$L$340,MATCH(D191&amp;E191,'Impact Model'!$D$15:$D$340&amp;'Impact Model'!$E$15:$E$340,0),8)</f>
        <v>#N/A</v>
      </c>
      <c r="R191" s="4" t="str">
        <f>IF(K191="Choose option", "Not calculated",IF(K191="Finite end point",SUM(P191:Q191),IF(COUNTIF(#REF!,"&gt;=0")&lt;1,INDEX(#REF!,1,COUNT(#REF!)),INDEX(#REF!,1,MATCH(TRUE,INDEX(#REF!&gt;=0,1,0),)))))</f>
        <v>Not calculated</v>
      </c>
      <c r="S191" s="16"/>
      <c r="T191" s="4" t="str">
        <f>IF(R191="Not calculated","Not calculated",SUM(R191:R195)/ROUND(COUNTIF(R191:R195,"&gt;0")+COUNTIF(R191:R195,"&lt;0"),0))</f>
        <v>Not calculated</v>
      </c>
      <c r="U191" s="113"/>
      <c r="AF191" s="32"/>
      <c r="AG191" s="27"/>
      <c r="BF191" s="32"/>
    </row>
    <row r="192" spans="2:58" ht="44.1" customHeight="1" thickBot="1">
      <c r="B192" s="17"/>
      <c r="C192" s="17"/>
      <c r="D192" s="11" t="str">
        <f>CONCATENATE($B191,"b")</f>
        <v>0.23b</v>
      </c>
      <c r="E192" s="21">
        <f>VLOOKUP(D192,'Impact Model'!$D$15:$L$340,2,FALSE)</f>
        <v>0</v>
      </c>
      <c r="F192" s="21" t="e">
        <f t="array" ref="F192">INDEX('Impact Model'!$D$15:$F$340,MATCH(D192&amp;E192,'Impact Model'!$D$15:$D$340&amp;'Impact Model'!$E$15:$E$340,0),3)</f>
        <v>#N/A</v>
      </c>
      <c r="G192" s="21" t="e">
        <f t="array" ref="G192">INDEX('Impact Model'!$D$15:$H$340,MATCH(D192&amp;E192,'Impact Model'!$D$15:$D$340&amp;'Impact Model'!$E$15:$E$340,0),5)</f>
        <v>#N/A</v>
      </c>
      <c r="H192" s="93"/>
      <c r="I192" s="94"/>
      <c r="J192" s="142" t="s">
        <v>67</v>
      </c>
      <c r="K192" s="142" t="s">
        <v>77</v>
      </c>
      <c r="L192" s="143" t="b">
        <f>IF(K192="Finite end point","Continue to Column M",IF(K192="Five yearly time-step","Switch to Offset Model_5 yearly"))</f>
        <v>0</v>
      </c>
      <c r="M192" s="70"/>
      <c r="N192" s="70"/>
      <c r="O192" s="70"/>
      <c r="P192" s="4" t="str">
        <f t="shared" ref="P192:P195" si="22">IF(K192="Finite end point",IFERROR(IF(ISBLANK(O192),"",((IF($J192="Low confidence &gt;50% &lt;75%",(IF(N192&lt;$G192,N192/$G192,1)-IF(M192&lt;$G192,M192/$G192,1))*0.62,IF($J192="Confident 75-90%",(IF(N192&lt;$G192,N192/$G192,1)-IF(M192&lt;$G192,M192/$G192,1))*0.825,IF($J192="Very confident &gt;90%",(IF(N192&lt;$G192,N192/$G192,1)-IF(M192&lt;$G192,M192/$G192,1))*0.955)))))/(1+$E$11)^O192)*(I192),"Not calculated"),"Not calculated")</f>
        <v>Not calculated</v>
      </c>
      <c r="Q192" s="4" t="e">
        <f t="array" ref="Q192">INDEX('Impact Model'!$D$15:$L$340,MATCH(D192&amp;E192,'Impact Model'!$D$15:$D$340&amp;'Impact Model'!$E$15:$E$340,0),8)</f>
        <v>#N/A</v>
      </c>
      <c r="R192" s="4" t="str">
        <f>IF(K192="Choose option", "Not calculated",IF(K192="Finite end point",SUM(P192:Q192),IF(COUNTIF(#REF!,"&gt;=0")&lt;1,INDEX(#REF!,1,COUNT(#REF!)),INDEX(#REF!,1,MATCH(TRUE,INDEX(#REF!&gt;=0,1,0),)))))</f>
        <v>Not calculated</v>
      </c>
      <c r="S192" s="18"/>
      <c r="T192" s="3"/>
      <c r="AF192" s="13"/>
      <c r="AG192"/>
      <c r="BF192" s="13"/>
    </row>
    <row r="193" spans="2:58" ht="44.1" customHeight="1" thickBot="1">
      <c r="B193" s="19"/>
      <c r="C193" s="19"/>
      <c r="D193" s="11" t="str">
        <f>CONCATENATE($B191,"c")</f>
        <v>0.23c</v>
      </c>
      <c r="E193" s="21">
        <f>VLOOKUP(D193,'Impact Model'!$D$15:$L$340,2,FALSE)</f>
        <v>0</v>
      </c>
      <c r="F193" s="21" t="e">
        <f t="array" ref="F193">INDEX('Impact Model'!$D$15:$F$340,MATCH(D193&amp;E193,'Impact Model'!$D$15:$D$340&amp;'Impact Model'!$E$15:$E$340,0),3)</f>
        <v>#N/A</v>
      </c>
      <c r="G193" s="21" t="e">
        <f t="array" ref="G193">INDEX('Impact Model'!$D$15:$H$340,MATCH(D193&amp;E193,'Impact Model'!$D$15:$D$340&amp;'Impact Model'!$E$15:$E$340,0),5)</f>
        <v>#N/A</v>
      </c>
      <c r="H193" s="93"/>
      <c r="I193" s="94"/>
      <c r="J193" s="142" t="s">
        <v>67</v>
      </c>
      <c r="K193" s="142" t="s">
        <v>77</v>
      </c>
      <c r="L193" s="143" t="b">
        <f>IF(K193="Finite end point","Continue to Column M",IF(K193="Five yearly time-step","Switch to Offset Model_5 yearly"))</f>
        <v>0</v>
      </c>
      <c r="M193" s="70"/>
      <c r="N193" s="70"/>
      <c r="O193" s="70"/>
      <c r="P193" s="4" t="str">
        <f t="shared" si="22"/>
        <v>Not calculated</v>
      </c>
      <c r="Q193" s="4" t="e">
        <f t="array" ref="Q193">INDEX('Impact Model'!$D$15:$L$340,MATCH(D193&amp;E193,'Impact Model'!$D$15:$D$340&amp;'Impact Model'!$E$15:$E$340,0),8)</f>
        <v>#N/A</v>
      </c>
      <c r="R193" s="4" t="str">
        <f>IF(K193="Choose option", "Not calculated",IF(K193="Finite end point",SUM(P193:Q193),IF(COUNTIF(#REF!,"&gt;=0")&lt;1,INDEX(#REF!,1,COUNT(#REF!)),INDEX(#REF!,1,MATCH(TRUE,INDEX(#REF!&gt;=0,1,0),)))))</f>
        <v>Not calculated</v>
      </c>
      <c r="S193" s="18"/>
      <c r="T193" s="121"/>
      <c r="AF193" s="13"/>
      <c r="AG193"/>
      <c r="BF193" s="13"/>
    </row>
    <row r="194" spans="2:58" ht="44.1" customHeight="1" thickBot="1">
      <c r="B194" s="19"/>
      <c r="C194" s="19"/>
      <c r="D194" s="11" t="str">
        <f>CONCATENATE($B191,"d")</f>
        <v>0.23d</v>
      </c>
      <c r="E194" s="21">
        <f>VLOOKUP(D194,'Impact Model'!$D$15:$L$340,2,FALSE)</f>
        <v>0</v>
      </c>
      <c r="F194" s="21" t="e">
        <f t="array" ref="F194">INDEX('Impact Model'!$D$15:$F$340,MATCH(D194&amp;E194,'Impact Model'!$D$15:$D$340&amp;'Impact Model'!$E$15:$E$340,0),3)</f>
        <v>#N/A</v>
      </c>
      <c r="G194" s="21" t="e">
        <f t="array" ref="G194">INDEX('Impact Model'!$D$15:$H$340,MATCH(D194&amp;E194,'Impact Model'!$D$15:$D$340&amp;'Impact Model'!$E$15:$E$340,0),5)</f>
        <v>#N/A</v>
      </c>
      <c r="H194" s="93"/>
      <c r="I194" s="94"/>
      <c r="J194" s="142" t="s">
        <v>67</v>
      </c>
      <c r="K194" s="142" t="s">
        <v>77</v>
      </c>
      <c r="L194" s="143" t="b">
        <f>IF(K194="Finite end point","Continue to Column M",IF(K194="Five yearly time-step","Switch to Offset Model_5 yearly"))</f>
        <v>0</v>
      </c>
      <c r="M194" s="70"/>
      <c r="N194" s="70"/>
      <c r="O194" s="70"/>
      <c r="P194" s="4" t="str">
        <f t="shared" si="22"/>
        <v>Not calculated</v>
      </c>
      <c r="Q194" s="4" t="e">
        <f t="array" ref="Q194">INDEX('Impact Model'!$D$15:$L$340,MATCH(D194&amp;E194,'Impact Model'!$D$15:$D$340&amp;'Impact Model'!$E$15:$E$340,0),8)</f>
        <v>#N/A</v>
      </c>
      <c r="R194" s="4" t="str">
        <f>IF(K194="Choose option", "Not calculated",IF(K194="Finite end point",SUM(P194:Q194),IF(COUNTIF(#REF!,"&gt;=0")&lt;1,INDEX(#REF!,1,COUNT(#REF!)),INDEX(#REF!,1,MATCH(TRUE,INDEX(#REF!&gt;=0,1,0),)))))</f>
        <v>Not calculated</v>
      </c>
      <c r="S194" s="18"/>
      <c r="T194" s="3"/>
      <c r="AF194" s="13"/>
      <c r="AG194"/>
      <c r="BF194" s="13"/>
    </row>
    <row r="195" spans="2:58" ht="44.1" customHeight="1" thickBot="1">
      <c r="B195" s="19"/>
      <c r="C195" s="19"/>
      <c r="D195" s="11" t="str">
        <f>CONCATENATE($B191,"e")</f>
        <v>0.23e</v>
      </c>
      <c r="E195" s="21">
        <f>VLOOKUP(D195,'Impact Model'!$D$15:$L$340,2,FALSE)</f>
        <v>0</v>
      </c>
      <c r="F195" s="21" t="e">
        <f t="array" ref="F195">INDEX('Impact Model'!$D$15:$F$340,MATCH(D195&amp;E195,'Impact Model'!$D$15:$D$340&amp;'Impact Model'!$E$15:$E$340,0),3)</f>
        <v>#N/A</v>
      </c>
      <c r="G195" s="21" t="e">
        <f t="array" ref="G195">INDEX('Impact Model'!$D$15:$H$340,MATCH(D195&amp;E195,'Impact Model'!$D$15:$D$340&amp;'Impact Model'!$E$15:$E$340,0),5)</f>
        <v>#N/A</v>
      </c>
      <c r="H195" s="93"/>
      <c r="I195" s="94"/>
      <c r="J195" s="142" t="s">
        <v>67</v>
      </c>
      <c r="K195" s="142" t="s">
        <v>77</v>
      </c>
      <c r="L195" s="143" t="b">
        <f>IF(K195="Finite end point","Continue to Column M",IF(K195="Five yearly time-step","Switch to Offset Model_5 yearly"))</f>
        <v>0</v>
      </c>
      <c r="M195" s="70"/>
      <c r="N195" s="70"/>
      <c r="O195" s="70"/>
      <c r="P195" s="4" t="str">
        <f t="shared" si="22"/>
        <v>Not calculated</v>
      </c>
      <c r="Q195" s="4" t="e">
        <f t="array" ref="Q195">INDEX('Impact Model'!$D$15:$L$340,MATCH(D195&amp;E195,'Impact Model'!$D$15:$D$340&amp;'Impact Model'!$E$15:$E$340,0),9)</f>
        <v>#N/A</v>
      </c>
      <c r="R195" s="4" t="str">
        <f>IF(K195="Choose option", "Not calculated",IF(K195="Finite end point",SUM(P195:Q195),IF(COUNTIF(#REF!,"&gt;=0")&lt;1,INDEX(#REF!,1,COUNT(#REF!)),INDEX(#REF!,1,MATCH(TRUE,INDEX(#REF!&gt;=0,1,0),)))))</f>
        <v>Not calculated</v>
      </c>
      <c r="S195" s="18"/>
      <c r="T195" s="3"/>
      <c r="AF195" s="13"/>
      <c r="AG195"/>
      <c r="BF195" s="13"/>
    </row>
    <row r="196" spans="2:58" ht="15.95" customHeight="1" thickBot="1"/>
    <row r="197" spans="2:58" s="60" customFormat="1" ht="108" customHeight="1">
      <c r="B197" s="12"/>
      <c r="C197" s="184" t="s">
        <v>47</v>
      </c>
      <c r="D197" s="185"/>
      <c r="E197" s="185"/>
      <c r="F197" s="185"/>
      <c r="G197" s="186"/>
      <c r="H197" s="184" t="s">
        <v>62</v>
      </c>
      <c r="I197" s="185"/>
      <c r="J197" s="186"/>
      <c r="K197" s="187" t="s">
        <v>44</v>
      </c>
      <c r="L197" s="188"/>
      <c r="M197" s="184" t="s">
        <v>78</v>
      </c>
      <c r="N197" s="185"/>
      <c r="O197" s="185"/>
      <c r="P197" s="185"/>
      <c r="Q197" s="185"/>
      <c r="R197" s="186"/>
      <c r="T197" s="154" t="s">
        <v>50</v>
      </c>
      <c r="AG197" s="27"/>
      <c r="BF197" s="68"/>
    </row>
    <row r="198" spans="2:58" s="60" customFormat="1" ht="62.1" customHeight="1" thickBot="1">
      <c r="C198" s="147" t="s">
        <v>4</v>
      </c>
      <c r="D198" s="191" t="s">
        <v>5</v>
      </c>
      <c r="E198" s="192"/>
      <c r="F198" s="34" t="s">
        <v>27</v>
      </c>
      <c r="G198" s="69" t="s">
        <v>33</v>
      </c>
      <c r="H198" s="33" t="s">
        <v>59</v>
      </c>
      <c r="I198" s="34" t="s">
        <v>20</v>
      </c>
      <c r="J198" s="22" t="s">
        <v>25</v>
      </c>
      <c r="K198" s="189"/>
      <c r="L198" s="190"/>
      <c r="M198" s="148" t="s">
        <v>84</v>
      </c>
      <c r="N198" s="148" t="s">
        <v>85</v>
      </c>
      <c r="O198" s="33" t="s">
        <v>45</v>
      </c>
      <c r="P198" s="34" t="s">
        <v>129</v>
      </c>
      <c r="Q198" s="35" t="s">
        <v>131</v>
      </c>
      <c r="R198" s="69" t="s">
        <v>51</v>
      </c>
      <c r="S198" s="15"/>
      <c r="T198" s="97" t="s">
        <v>52</v>
      </c>
      <c r="AF198" s="15"/>
      <c r="AG198" s="27"/>
      <c r="BF198" s="15"/>
    </row>
    <row r="199" spans="2:58" s="60" customFormat="1" ht="44.1" customHeight="1" thickBot="1">
      <c r="B199" s="11" t="str">
        <f>CONCATENATE($B$11+0.24)</f>
        <v>0.24</v>
      </c>
      <c r="C199" s="21">
        <f>VLOOKUP(B199,'Impact Model'!$B$15:$L$340,2,FALSE)</f>
        <v>0</v>
      </c>
      <c r="D199" s="11" t="str">
        <f>CONCATENATE($B199,"a")</f>
        <v>0.24a</v>
      </c>
      <c r="E199" s="21">
        <f>VLOOKUP(D199,'Impact Model'!$D$15:$L$340,2,FALSE)</f>
        <v>0</v>
      </c>
      <c r="F199" s="21" t="e">
        <f t="array" ref="F199">INDEX('Impact Model'!$D$15:$F$340,MATCH(D199&amp;E199,'Impact Model'!$D$15:$D$340&amp;'Impact Model'!$E$15:$E$340,0),3)</f>
        <v>#N/A</v>
      </c>
      <c r="G199" s="21" t="e">
        <f t="array" ref="G199">INDEX('Impact Model'!$D$15:$H$340,MATCH(D199&amp;E199,'Impact Model'!$D$15:$D$340&amp;'Impact Model'!$E$15:$E$340,0),5)</f>
        <v>#N/A</v>
      </c>
      <c r="H199" s="93"/>
      <c r="I199" s="94"/>
      <c r="J199" s="142" t="s">
        <v>67</v>
      </c>
      <c r="K199" s="142" t="s">
        <v>77</v>
      </c>
      <c r="L199" s="143" t="b">
        <f>IF(K199="Finite end point","Continue to Column M",IF(K199="Five yearly time-step","Switch to Offset Model_5 yearly"))</f>
        <v>0</v>
      </c>
      <c r="M199" s="70"/>
      <c r="N199" s="70"/>
      <c r="O199" s="70"/>
      <c r="P199" s="4" t="str">
        <f>IF(K199="Finite end point",IFERROR(IF(ISBLANK(O199),"",((IF($J199="Low confidence &gt;50% &lt;75%",(IF(N199&lt;$G199,N199/$G199,1)-IF(M199&lt;$G199,M199/$G199,1))*0.62,IF($J199="Confident 75-90%",(IF(N199&lt;$G199,N199/$G199,1)-IF(M199&lt;$G199,M199/$G199,1))*0.825,IF($J199="Very confident &gt;90%",(IF(N199&lt;$G199,N199/$G199,1)-IF(M199&lt;$G199,M199/$G199,1))*0.955)))))/(1+$E$11)^O199)*(I199),"Not calculated"),"Not calculated")</f>
        <v>Not calculated</v>
      </c>
      <c r="Q199" s="4" t="e">
        <f t="array" ref="Q199">INDEX('Impact Model'!$D$15:$L$340,MATCH(D199&amp;E199,'Impact Model'!$D$15:$D$340&amp;'Impact Model'!$E$15:$E$340,0),8)</f>
        <v>#N/A</v>
      </c>
      <c r="R199" s="4" t="str">
        <f>IF(K199="Choose option", "Not calculated",IF(K199="Finite end point",SUM(P199:Q199),IF(COUNTIF(#REF!,"&gt;=0")&lt;1,INDEX(#REF!,1,COUNT(#REF!)),INDEX(#REF!,1,MATCH(TRUE,INDEX(#REF!&gt;=0,1,0),)))))</f>
        <v>Not calculated</v>
      </c>
      <c r="S199" s="16"/>
      <c r="T199" s="4" t="str">
        <f>IF(R199="Not calculated","Not calculated",SUM(R199:R203)/ROUND(COUNTIF(R199:R203,"&gt;0")+COUNTIF(R199:R203,"&lt;0"),0))</f>
        <v>Not calculated</v>
      </c>
      <c r="U199" s="113"/>
      <c r="AF199" s="32"/>
      <c r="AG199" s="27"/>
      <c r="BF199" s="32"/>
    </row>
    <row r="200" spans="2:58" ht="44.1" customHeight="1" thickBot="1">
      <c r="B200" s="17"/>
      <c r="C200" s="17"/>
      <c r="D200" s="11" t="str">
        <f>CONCATENATE($B199,"b")</f>
        <v>0.24b</v>
      </c>
      <c r="E200" s="21">
        <f>VLOOKUP(D200,'Impact Model'!$D$15:$L$340,2,FALSE)</f>
        <v>0</v>
      </c>
      <c r="F200" s="21" t="e">
        <f t="array" ref="F200">INDEX('Impact Model'!$D$15:$F$340,MATCH(D200&amp;E200,'Impact Model'!$D$15:$D$340&amp;'Impact Model'!$E$15:$E$340,0),3)</f>
        <v>#N/A</v>
      </c>
      <c r="G200" s="21" t="e">
        <f t="array" ref="G200">INDEX('Impact Model'!$D$15:$H$340,MATCH(D200&amp;E200,'Impact Model'!$D$15:$D$340&amp;'Impact Model'!$E$15:$E$340,0),5)</f>
        <v>#N/A</v>
      </c>
      <c r="H200" s="93"/>
      <c r="I200" s="94"/>
      <c r="J200" s="142" t="s">
        <v>67</v>
      </c>
      <c r="K200" s="142" t="s">
        <v>77</v>
      </c>
      <c r="L200" s="143" t="b">
        <f>IF(K200="Finite end point","Continue to Column M",IF(K200="Five yearly time-step","Switch to Offset Model_5 yearly"))</f>
        <v>0</v>
      </c>
      <c r="M200" s="70"/>
      <c r="N200" s="70"/>
      <c r="O200" s="70"/>
      <c r="P200" s="4" t="str">
        <f t="shared" ref="P200:P203" si="23">IF(K200="Finite end point",IFERROR(IF(ISBLANK(O200),"",((IF($J200="Low confidence &gt;50% &lt;75%",(IF(N200&lt;$G200,N200/$G200,1)-IF(M200&lt;$G200,M200/$G200,1))*0.62,IF($J200="Confident 75-90%",(IF(N200&lt;$G200,N200/$G200,1)-IF(M200&lt;$G200,M200/$G200,1))*0.825,IF($J200="Very confident &gt;90%",(IF(N200&lt;$G200,N200/$G200,1)-IF(M200&lt;$G200,M200/$G200,1))*0.955)))))/(1+$E$11)^O200)*(I200),"Not calculated"),"Not calculated")</f>
        <v>Not calculated</v>
      </c>
      <c r="Q200" s="4" t="e">
        <f t="array" ref="Q200">INDEX('Impact Model'!$D$15:$L$340,MATCH(D200&amp;E200,'Impact Model'!$D$15:$D$340&amp;'Impact Model'!$E$15:$E$340,0),8)</f>
        <v>#N/A</v>
      </c>
      <c r="R200" s="4" t="str">
        <f>IF(K200="Choose option", "Not calculated",IF(K200="Finite end point",SUM(P200:Q200),IF(COUNTIF(#REF!,"&gt;=0")&lt;1,INDEX(#REF!,1,COUNT(#REF!)),INDEX(#REF!,1,MATCH(TRUE,INDEX(#REF!&gt;=0,1,0),)))))</f>
        <v>Not calculated</v>
      </c>
      <c r="S200" s="18"/>
      <c r="T200" s="3"/>
      <c r="AF200" s="13"/>
      <c r="AG200"/>
      <c r="BF200" s="13"/>
    </row>
    <row r="201" spans="2:58" ht="44.1" customHeight="1" thickBot="1">
      <c r="B201" s="19"/>
      <c r="C201" s="19"/>
      <c r="D201" s="11" t="str">
        <f>CONCATENATE($B199,"c")</f>
        <v>0.24c</v>
      </c>
      <c r="E201" s="21">
        <f>VLOOKUP(D201,'Impact Model'!$D$15:$L$340,2,FALSE)</f>
        <v>0</v>
      </c>
      <c r="F201" s="21" t="e">
        <f t="array" ref="F201">INDEX('Impact Model'!$D$15:$F$340,MATCH(D201&amp;E201,'Impact Model'!$D$15:$D$340&amp;'Impact Model'!$E$15:$E$340,0),3)</f>
        <v>#N/A</v>
      </c>
      <c r="G201" s="21" t="e">
        <f t="array" ref="G201">INDEX('Impact Model'!$D$15:$H$340,MATCH(D201&amp;E201,'Impact Model'!$D$15:$D$340&amp;'Impact Model'!$E$15:$E$340,0),5)</f>
        <v>#N/A</v>
      </c>
      <c r="H201" s="93"/>
      <c r="I201" s="94"/>
      <c r="J201" s="142" t="s">
        <v>67</v>
      </c>
      <c r="K201" s="142" t="s">
        <v>77</v>
      </c>
      <c r="L201" s="143" t="b">
        <f>IF(K201="Finite end point","Continue to Column M",IF(K201="Five yearly time-step","Switch to Offset Model_5 yearly"))</f>
        <v>0</v>
      </c>
      <c r="M201" s="70"/>
      <c r="N201" s="70"/>
      <c r="O201" s="70"/>
      <c r="P201" s="4" t="str">
        <f t="shared" si="23"/>
        <v>Not calculated</v>
      </c>
      <c r="Q201" s="4" t="e">
        <f t="array" ref="Q201">INDEX('Impact Model'!$D$15:$L$340,MATCH(D201&amp;E201,'Impact Model'!$D$15:$D$340&amp;'Impact Model'!$E$15:$E$340,0),8)</f>
        <v>#N/A</v>
      </c>
      <c r="R201" s="4" t="str">
        <f>IF(K201="Choose option", "Not calculated",IF(K201="Finite end point",SUM(P201:Q201),IF(COUNTIF(#REF!,"&gt;=0")&lt;1,INDEX(#REF!,1,COUNT(#REF!)),INDEX(#REF!,1,MATCH(TRUE,INDEX(#REF!&gt;=0,1,0),)))))</f>
        <v>Not calculated</v>
      </c>
      <c r="S201" s="18"/>
      <c r="T201" s="121"/>
      <c r="AF201" s="13"/>
      <c r="AG201"/>
      <c r="BF201" s="13"/>
    </row>
    <row r="202" spans="2:58" ht="44.1" customHeight="1" thickBot="1">
      <c r="B202" s="19"/>
      <c r="C202" s="19"/>
      <c r="D202" s="11" t="str">
        <f>CONCATENATE($B199,"d")</f>
        <v>0.24d</v>
      </c>
      <c r="E202" s="21">
        <f>VLOOKUP(D202,'Impact Model'!$D$15:$L$340,2,FALSE)</f>
        <v>0</v>
      </c>
      <c r="F202" s="21" t="e">
        <f t="array" ref="F202">INDEX('Impact Model'!$D$15:$F$340,MATCH(D202&amp;E202,'Impact Model'!$D$15:$D$340&amp;'Impact Model'!$E$15:$E$340,0),3)</f>
        <v>#N/A</v>
      </c>
      <c r="G202" s="21" t="e">
        <f t="array" ref="G202">INDEX('Impact Model'!$D$15:$H$340,MATCH(D202&amp;E202,'Impact Model'!$D$15:$D$340&amp;'Impact Model'!$E$15:$E$340,0),5)</f>
        <v>#N/A</v>
      </c>
      <c r="H202" s="93"/>
      <c r="I202" s="94"/>
      <c r="J202" s="142" t="s">
        <v>67</v>
      </c>
      <c r="K202" s="142" t="s">
        <v>77</v>
      </c>
      <c r="L202" s="143" t="b">
        <f>IF(K202="Finite end point","Continue to Column M",IF(K202="Five yearly time-step","Switch to Offset Model_5 yearly"))</f>
        <v>0</v>
      </c>
      <c r="M202" s="70"/>
      <c r="N202" s="70"/>
      <c r="O202" s="70"/>
      <c r="P202" s="4" t="str">
        <f t="shared" si="23"/>
        <v>Not calculated</v>
      </c>
      <c r="Q202" s="4" t="e">
        <f t="array" ref="Q202">INDEX('Impact Model'!$D$15:$L$340,MATCH(D202&amp;E202,'Impact Model'!$D$15:$D$340&amp;'Impact Model'!$E$15:$E$340,0),8)</f>
        <v>#N/A</v>
      </c>
      <c r="R202" s="4" t="str">
        <f>IF(K202="Choose option", "Not calculated",IF(K202="Finite end point",SUM(P202:Q202),IF(COUNTIF(#REF!,"&gt;=0")&lt;1,INDEX(#REF!,1,COUNT(#REF!)),INDEX(#REF!,1,MATCH(TRUE,INDEX(#REF!&gt;=0,1,0),)))))</f>
        <v>Not calculated</v>
      </c>
      <c r="S202" s="18"/>
      <c r="T202" s="3"/>
      <c r="AF202" s="13"/>
      <c r="AG202"/>
      <c r="BF202" s="13"/>
    </row>
    <row r="203" spans="2:58" ht="44.1" customHeight="1" thickBot="1">
      <c r="B203" s="19"/>
      <c r="C203" s="19"/>
      <c r="D203" s="11" t="str">
        <f>CONCATENATE($B199,"e")</f>
        <v>0.24e</v>
      </c>
      <c r="E203" s="21">
        <f>VLOOKUP(D203,'Impact Model'!$D$15:$L$340,2,FALSE)</f>
        <v>0</v>
      </c>
      <c r="F203" s="21" t="e">
        <f t="array" ref="F203">INDEX('Impact Model'!$D$15:$F$340,MATCH(D203&amp;E203,'Impact Model'!$D$15:$D$340&amp;'Impact Model'!$E$15:$E$340,0),3)</f>
        <v>#N/A</v>
      </c>
      <c r="G203" s="21" t="e">
        <f t="array" ref="G203">INDEX('Impact Model'!$D$15:$H$340,MATCH(D203&amp;E203,'Impact Model'!$D$15:$D$340&amp;'Impact Model'!$E$15:$E$340,0),5)</f>
        <v>#N/A</v>
      </c>
      <c r="H203" s="93"/>
      <c r="I203" s="94"/>
      <c r="J203" s="142" t="s">
        <v>67</v>
      </c>
      <c r="K203" s="142" t="s">
        <v>77</v>
      </c>
      <c r="L203" s="143" t="b">
        <f>IF(K203="Finite end point","Continue to Column M",IF(K203="Five yearly time-step","Switch to Offset Model_5 yearly"))</f>
        <v>0</v>
      </c>
      <c r="M203" s="70"/>
      <c r="N203" s="70"/>
      <c r="O203" s="70"/>
      <c r="P203" s="4" t="str">
        <f t="shared" si="23"/>
        <v>Not calculated</v>
      </c>
      <c r="Q203" s="4" t="e">
        <f t="array" ref="Q203">INDEX('Impact Model'!$D$15:$L$340,MATCH(D203&amp;E203,'Impact Model'!$D$15:$D$340&amp;'Impact Model'!$E$15:$E$340,0),8)</f>
        <v>#N/A</v>
      </c>
      <c r="R203" s="4" t="str">
        <f>IF(K203="Choose option", "Not calculated",IF(K203="Finite end point",SUM(P203:Q203),IF(COUNTIF(#REF!,"&gt;=0")&lt;1,INDEX(#REF!,1,COUNT(#REF!)),INDEX(#REF!,1,MATCH(TRUE,INDEX(#REF!&gt;=0,1,0),)))))</f>
        <v>Not calculated</v>
      </c>
      <c r="S203" s="18"/>
      <c r="T203" s="3"/>
      <c r="AF203" s="13"/>
      <c r="AG203"/>
      <c r="BF203" s="13"/>
    </row>
    <row r="204" spans="2:58" ht="15.95" customHeight="1" thickBot="1"/>
    <row r="205" spans="2:58" s="60" customFormat="1" ht="108" customHeight="1">
      <c r="B205" s="12"/>
      <c r="C205" s="184" t="s">
        <v>47</v>
      </c>
      <c r="D205" s="185"/>
      <c r="E205" s="185"/>
      <c r="F205" s="185"/>
      <c r="G205" s="186"/>
      <c r="H205" s="184" t="s">
        <v>62</v>
      </c>
      <c r="I205" s="185"/>
      <c r="J205" s="186"/>
      <c r="K205" s="187" t="s">
        <v>44</v>
      </c>
      <c r="L205" s="188"/>
      <c r="M205" s="184" t="s">
        <v>78</v>
      </c>
      <c r="N205" s="185"/>
      <c r="O205" s="185"/>
      <c r="P205" s="185"/>
      <c r="Q205" s="185"/>
      <c r="R205" s="186"/>
      <c r="T205" s="154" t="s">
        <v>50</v>
      </c>
      <c r="AG205" s="27"/>
      <c r="BF205" s="68"/>
    </row>
    <row r="206" spans="2:58" s="60" customFormat="1" ht="62.1" customHeight="1" thickBot="1">
      <c r="C206" s="147" t="s">
        <v>4</v>
      </c>
      <c r="D206" s="191" t="s">
        <v>5</v>
      </c>
      <c r="E206" s="192"/>
      <c r="F206" s="34" t="s">
        <v>27</v>
      </c>
      <c r="G206" s="69" t="s">
        <v>33</v>
      </c>
      <c r="H206" s="33" t="s">
        <v>59</v>
      </c>
      <c r="I206" s="34" t="s">
        <v>20</v>
      </c>
      <c r="J206" s="22" t="s">
        <v>25</v>
      </c>
      <c r="K206" s="189"/>
      <c r="L206" s="190"/>
      <c r="M206" s="148" t="s">
        <v>84</v>
      </c>
      <c r="N206" s="148" t="s">
        <v>85</v>
      </c>
      <c r="O206" s="33" t="s">
        <v>45</v>
      </c>
      <c r="P206" s="34" t="s">
        <v>129</v>
      </c>
      <c r="Q206" s="35" t="s">
        <v>131</v>
      </c>
      <c r="R206" s="69" t="s">
        <v>51</v>
      </c>
      <c r="S206" s="15"/>
      <c r="T206" s="97" t="s">
        <v>52</v>
      </c>
      <c r="AF206" s="15"/>
      <c r="AG206" s="27"/>
      <c r="BF206" s="15"/>
    </row>
    <row r="207" spans="2:58" s="60" customFormat="1" ht="44.1" customHeight="1" thickBot="1">
      <c r="B207" s="11" t="str">
        <f>CONCATENATE($B$11+0.25)</f>
        <v>0.25</v>
      </c>
      <c r="C207" s="21">
        <f>VLOOKUP(B207,'Impact Model'!$B$15:$L$340,2,FALSE)</f>
        <v>0</v>
      </c>
      <c r="D207" s="11" t="str">
        <f>CONCATENATE($B207,"a")</f>
        <v>0.25a</v>
      </c>
      <c r="E207" s="21">
        <f>VLOOKUP(D207,'Impact Model'!$D$15:$L$340,2,FALSE)</f>
        <v>0</v>
      </c>
      <c r="F207" s="21" t="e">
        <f t="array" ref="F207">INDEX('Impact Model'!$D$15:$F$340,MATCH(D207&amp;E207,'Impact Model'!$D$15:$D$340&amp;'Impact Model'!$E$15:$E$340,0),3)</f>
        <v>#N/A</v>
      </c>
      <c r="G207" s="21" t="e">
        <f t="array" ref="G207">INDEX('Impact Model'!$D$15:$H$340,MATCH(D207&amp;E207,'Impact Model'!$D$15:$D$340&amp;'Impact Model'!$E$15:$E$340,0),5)</f>
        <v>#N/A</v>
      </c>
      <c r="H207" s="93"/>
      <c r="I207" s="94"/>
      <c r="J207" s="142" t="s">
        <v>67</v>
      </c>
      <c r="K207" s="142" t="s">
        <v>77</v>
      </c>
      <c r="L207" s="143" t="b">
        <f>IF(K207="Finite end point","Continue to Column M",IF(K207="Five yearly time-step","Switch to Offset Model_5 yearly"))</f>
        <v>0</v>
      </c>
      <c r="M207" s="70"/>
      <c r="N207" s="70"/>
      <c r="O207" s="70"/>
      <c r="P207" s="4" t="str">
        <f>IF(K207="Finite end point",IFERROR(IF(ISBLANK(O207),"",((IF($J207="Low confidence &gt;50% &lt;75%",(IF(N207&lt;$G207,N207/$G207,1)-IF(M207&lt;$G207,M207/$G207,1))*0.62,IF($J207="Confident 75-90%",(IF(N207&lt;$G207,N207/$G207,1)-IF(M207&lt;$G207,M207/$G207,1))*0.825,IF($J207="Very confident &gt;90%",(IF(N207&lt;$G207,N207/$G207,1)-IF(M207&lt;$G207,M207/$G207,1))*0.955)))))/(1+$E$11)^O207)*(I207),"Not calculated"),"Not calculated")</f>
        <v>Not calculated</v>
      </c>
      <c r="Q207" s="4" t="e">
        <f t="array" ref="Q207">INDEX('Impact Model'!$D$15:$L$340,MATCH(D207&amp;E207,'Impact Model'!$D$15:$D$340&amp;'Impact Model'!$E$15:$E$340,0),8)</f>
        <v>#N/A</v>
      </c>
      <c r="R207" s="4" t="str">
        <f>IF(K207="Choose option", "Not calculated",IF(K207="Finite end point",SUM(P207:Q207),IF(COUNTIF(#REF!,"&gt;=0")&lt;1,INDEX(#REF!,1,COUNT(#REF!)),INDEX(#REF!,1,MATCH(TRUE,INDEX(#REF!&gt;=0,1,0),)))))</f>
        <v>Not calculated</v>
      </c>
      <c r="S207" s="16"/>
      <c r="T207" s="4" t="str">
        <f>IF(R207="Not calculated","Not calculated",SUM(R207:R211)/ROUND(COUNTIF(R207:R211,"&gt;0")+COUNTIF(R207:R211,"&lt;0"),0))</f>
        <v>Not calculated</v>
      </c>
      <c r="U207" s="113"/>
      <c r="AF207" s="32"/>
      <c r="AG207" s="27"/>
      <c r="BF207" s="32"/>
    </row>
    <row r="208" spans="2:58" ht="44.1" customHeight="1" thickBot="1">
      <c r="B208" s="17"/>
      <c r="C208" s="17"/>
      <c r="D208" s="11" t="str">
        <f>CONCATENATE($B207,"b")</f>
        <v>0.25b</v>
      </c>
      <c r="E208" s="21">
        <f>VLOOKUP(D208,'Impact Model'!$D$15:$L$340,2,FALSE)</f>
        <v>0</v>
      </c>
      <c r="F208" s="21" t="e">
        <f t="array" ref="F208">INDEX('Impact Model'!$D$15:$F$340,MATCH(D208&amp;E208,'Impact Model'!$D$15:$D$340&amp;'Impact Model'!$E$15:$E$340,0),3)</f>
        <v>#N/A</v>
      </c>
      <c r="G208" s="21" t="e">
        <f t="array" ref="G208">INDEX('Impact Model'!$D$15:$H$340,MATCH(D208&amp;E208,'Impact Model'!$D$15:$D$340&amp;'Impact Model'!$E$15:$E$340,0),5)</f>
        <v>#N/A</v>
      </c>
      <c r="H208" s="93"/>
      <c r="I208" s="94"/>
      <c r="J208" s="142" t="s">
        <v>67</v>
      </c>
      <c r="K208" s="142" t="s">
        <v>77</v>
      </c>
      <c r="L208" s="143" t="b">
        <f>IF(K208="Finite end point","Continue to Column M",IF(K208="Five yearly time-step","Switch to Offset Model_5 yearly"))</f>
        <v>0</v>
      </c>
      <c r="M208" s="70"/>
      <c r="N208" s="70"/>
      <c r="O208" s="70"/>
      <c r="P208" s="4" t="str">
        <f t="shared" ref="P208:P211" si="24">IF(K208="Finite end point",IFERROR(IF(ISBLANK(O208),"",((IF($J208="Low confidence &gt;50% &lt;75%",(IF(N208&lt;$G208,N208/$G208,1)-IF(M208&lt;$G208,M208/$G208,1))*0.62,IF($J208="Confident 75-90%",(IF(N208&lt;$G208,N208/$G208,1)-IF(M208&lt;$G208,M208/$G208,1))*0.825,IF($J208="Very confident &gt;90%",(IF(N208&lt;$G208,N208/$G208,1)-IF(M208&lt;$G208,M208/$G208,1))*0.955)))))/(1+$E$11)^O208)*(I208),"Not calculated"),"Not calculated")</f>
        <v>Not calculated</v>
      </c>
      <c r="Q208" s="4" t="e">
        <f t="array" ref="Q208">INDEX('Impact Model'!$D$15:$L$340,MATCH(D208&amp;E208,'Impact Model'!$D$15:$D$340&amp;'Impact Model'!$E$15:$E$340,0),8)</f>
        <v>#N/A</v>
      </c>
      <c r="R208" s="4" t="str">
        <f>IF(K208="Choose option", "Not calculated",IF(K208="Finite end point",SUM(P208:Q208),IF(COUNTIF(#REF!,"&gt;=0")&lt;1,INDEX(#REF!,1,COUNT(#REF!)),INDEX(#REF!,1,MATCH(TRUE,INDEX(#REF!&gt;=0,1,0),)))))</f>
        <v>Not calculated</v>
      </c>
      <c r="S208" s="18"/>
      <c r="T208" s="3"/>
      <c r="AF208" s="13"/>
      <c r="AG208"/>
      <c r="BF208" s="13"/>
    </row>
    <row r="209" spans="2:58" ht="44.1" customHeight="1" thickBot="1">
      <c r="B209" s="19"/>
      <c r="C209" s="19"/>
      <c r="D209" s="11" t="str">
        <f>CONCATENATE($B207,"c")</f>
        <v>0.25c</v>
      </c>
      <c r="E209" s="21">
        <f>VLOOKUP(D209,'Impact Model'!$D$15:$L$340,2,FALSE)</f>
        <v>0</v>
      </c>
      <c r="F209" s="21" t="e">
        <f t="array" ref="F209">INDEX('Impact Model'!$D$15:$F$340,MATCH(D209&amp;E209,'Impact Model'!$D$15:$D$340&amp;'Impact Model'!$E$15:$E$340,0),3)</f>
        <v>#N/A</v>
      </c>
      <c r="G209" s="21" t="e">
        <f t="array" ref="G209">INDEX('Impact Model'!$D$15:$H$340,MATCH(D209&amp;E209,'Impact Model'!$D$15:$D$340&amp;'Impact Model'!$E$15:$E$340,0),5)</f>
        <v>#N/A</v>
      </c>
      <c r="H209" s="93"/>
      <c r="I209" s="94"/>
      <c r="J209" s="142" t="s">
        <v>67</v>
      </c>
      <c r="K209" s="142" t="s">
        <v>77</v>
      </c>
      <c r="L209" s="143" t="b">
        <f>IF(K209="Finite end point","Continue to Column M",IF(K209="Five yearly time-step","Switch to Offset Model_5 yearly"))</f>
        <v>0</v>
      </c>
      <c r="M209" s="70"/>
      <c r="N209" s="70"/>
      <c r="O209" s="70"/>
      <c r="P209" s="4" t="str">
        <f t="shared" si="24"/>
        <v>Not calculated</v>
      </c>
      <c r="Q209" s="4" t="e">
        <f t="array" ref="Q209">INDEX('Impact Model'!$D$15:$L$340,MATCH(D209&amp;E209,'Impact Model'!$D$15:$D$340&amp;'Impact Model'!$E$15:$E$340,0),8)</f>
        <v>#N/A</v>
      </c>
      <c r="R209" s="4" t="str">
        <f>IF(K209="Choose option", "Not calculated",IF(K209="Finite end point",SUM(P209:Q209),IF(COUNTIF(#REF!,"&gt;=0")&lt;1,INDEX(#REF!,1,COUNT(#REF!)),INDEX(#REF!,1,MATCH(TRUE,INDEX(#REF!&gt;=0,1,0),)))))</f>
        <v>Not calculated</v>
      </c>
      <c r="S209" s="18"/>
      <c r="T209" s="121"/>
      <c r="AF209" s="13"/>
      <c r="AG209"/>
      <c r="BF209" s="13"/>
    </row>
    <row r="210" spans="2:58" ht="44.1" customHeight="1" thickBot="1">
      <c r="B210" s="19"/>
      <c r="C210" s="19"/>
      <c r="D210" s="11" t="str">
        <f>CONCATENATE($B207,"d")</f>
        <v>0.25d</v>
      </c>
      <c r="E210" s="21">
        <f>VLOOKUP(D210,'Impact Model'!$D$15:$L$340,2,FALSE)</f>
        <v>0</v>
      </c>
      <c r="F210" s="21" t="e">
        <f t="array" ref="F210">INDEX('Impact Model'!$D$15:$F$340,MATCH(D210&amp;E210,'Impact Model'!$D$15:$D$340&amp;'Impact Model'!$E$15:$E$340,0),3)</f>
        <v>#N/A</v>
      </c>
      <c r="G210" s="21" t="e">
        <f t="array" ref="G210">INDEX('Impact Model'!$D$15:$H$340,MATCH(D210&amp;E210,'Impact Model'!$D$15:$D$340&amp;'Impact Model'!$E$15:$E$340,0),5)</f>
        <v>#N/A</v>
      </c>
      <c r="H210" s="93"/>
      <c r="I210" s="94"/>
      <c r="J210" s="142" t="s">
        <v>67</v>
      </c>
      <c r="K210" s="142" t="s">
        <v>77</v>
      </c>
      <c r="L210" s="143" t="b">
        <f>IF(K210="Finite end point","Continue to Column M",IF(K210="Five yearly time-step","Switch to Offset Model_5 yearly"))</f>
        <v>0</v>
      </c>
      <c r="M210" s="70"/>
      <c r="N210" s="70"/>
      <c r="O210" s="70"/>
      <c r="P210" s="4" t="str">
        <f t="shared" si="24"/>
        <v>Not calculated</v>
      </c>
      <c r="Q210" s="4" t="e">
        <f t="array" ref="Q210">INDEX('Impact Model'!$D$15:$L$340,MATCH(D210&amp;E210,'Impact Model'!$D$15:$D$340&amp;'Impact Model'!$E$15:$E$340,0),8)</f>
        <v>#N/A</v>
      </c>
      <c r="R210" s="4" t="str">
        <f>IF(K210="Choose option", "Not calculated",IF(K210="Finite end point",SUM(P210:Q210),IF(COUNTIF(#REF!,"&gt;=0")&lt;1,INDEX(#REF!,1,COUNT(#REF!)),INDEX(#REF!,1,MATCH(TRUE,INDEX(#REF!&gt;=0,1,0),)))))</f>
        <v>Not calculated</v>
      </c>
      <c r="S210" s="18"/>
      <c r="T210" s="3"/>
      <c r="AF210" s="13"/>
      <c r="AG210"/>
      <c r="BF210" s="13"/>
    </row>
    <row r="211" spans="2:58" ht="44.1" customHeight="1" thickBot="1">
      <c r="B211" s="19"/>
      <c r="C211" s="19"/>
      <c r="D211" s="11" t="str">
        <f>CONCATENATE($B207,"e")</f>
        <v>0.25e</v>
      </c>
      <c r="E211" s="21">
        <f>VLOOKUP(D211,'Impact Model'!$D$15:$L$340,2,FALSE)</f>
        <v>0</v>
      </c>
      <c r="F211" s="21" t="e">
        <f t="array" ref="F211">INDEX('Impact Model'!$D$15:$F$340,MATCH(D211&amp;E211,'Impact Model'!$D$15:$D$340&amp;'Impact Model'!$E$15:$E$340,0),3)</f>
        <v>#N/A</v>
      </c>
      <c r="G211" s="21" t="e">
        <f t="array" ref="G211">INDEX('Impact Model'!$D$15:$H$340,MATCH(D211&amp;E211,'Impact Model'!$D$15:$D$340&amp;'Impact Model'!$E$15:$E$340,0),5)</f>
        <v>#N/A</v>
      </c>
      <c r="H211" s="93"/>
      <c r="I211" s="94"/>
      <c r="J211" s="142" t="s">
        <v>67</v>
      </c>
      <c r="K211" s="142" t="s">
        <v>77</v>
      </c>
      <c r="L211" s="143" t="b">
        <f>IF(K211="Finite end point","Continue to Column M",IF(K211="Five yearly time-step","Switch to Offset Model_5 yearly"))</f>
        <v>0</v>
      </c>
      <c r="M211" s="70"/>
      <c r="N211" s="70"/>
      <c r="O211" s="70"/>
      <c r="P211" s="4" t="str">
        <f t="shared" si="24"/>
        <v>Not calculated</v>
      </c>
      <c r="Q211" s="4" t="e">
        <f t="array" ref="Q211">INDEX('Impact Model'!$D$15:$L$340,MATCH(D211&amp;E211,'Impact Model'!$D$15:$D$340&amp;'Impact Model'!$E$15:$E$340,0),8)</f>
        <v>#N/A</v>
      </c>
      <c r="R211" s="4" t="str">
        <f>IF(K211="Choose option", "Not calculated",IF(K211="Finite end point",SUM(P211:Q211),IF(COUNTIF(#REF!,"&gt;=0")&lt;1,INDEX(#REF!,1,COUNT(#REF!)),INDEX(#REF!,1,MATCH(TRUE,INDEX(#REF!&gt;=0,1,0),)))))</f>
        <v>Not calculated</v>
      </c>
      <c r="S211" s="18"/>
      <c r="T211" s="3"/>
      <c r="AF211" s="13"/>
      <c r="AG211"/>
      <c r="BF211" s="13"/>
    </row>
    <row r="212" spans="2:58" ht="15.95" customHeight="1" thickBot="1"/>
    <row r="213" spans="2:58" s="60" customFormat="1" ht="108" customHeight="1">
      <c r="B213" s="12"/>
      <c r="C213" s="184" t="s">
        <v>47</v>
      </c>
      <c r="D213" s="185"/>
      <c r="E213" s="185"/>
      <c r="F213" s="185"/>
      <c r="G213" s="186"/>
      <c r="H213" s="184" t="s">
        <v>62</v>
      </c>
      <c r="I213" s="185"/>
      <c r="J213" s="186"/>
      <c r="K213" s="187" t="s">
        <v>44</v>
      </c>
      <c r="L213" s="188"/>
      <c r="M213" s="184" t="s">
        <v>78</v>
      </c>
      <c r="N213" s="185"/>
      <c r="O213" s="185"/>
      <c r="P213" s="185"/>
      <c r="Q213" s="185"/>
      <c r="R213" s="186"/>
      <c r="T213" s="154" t="s">
        <v>50</v>
      </c>
      <c r="AG213" s="27"/>
      <c r="BF213" s="68"/>
    </row>
    <row r="214" spans="2:58" s="60" customFormat="1" ht="62.1" customHeight="1" thickBot="1">
      <c r="C214" s="147" t="s">
        <v>4</v>
      </c>
      <c r="D214" s="191" t="s">
        <v>5</v>
      </c>
      <c r="E214" s="192"/>
      <c r="F214" s="34" t="s">
        <v>27</v>
      </c>
      <c r="G214" s="69" t="s">
        <v>33</v>
      </c>
      <c r="H214" s="33" t="s">
        <v>59</v>
      </c>
      <c r="I214" s="34" t="s">
        <v>20</v>
      </c>
      <c r="J214" s="22" t="s">
        <v>25</v>
      </c>
      <c r="K214" s="189"/>
      <c r="L214" s="190"/>
      <c r="M214" s="148" t="s">
        <v>84</v>
      </c>
      <c r="N214" s="148" t="s">
        <v>85</v>
      </c>
      <c r="O214" s="33" t="s">
        <v>45</v>
      </c>
      <c r="P214" s="34" t="s">
        <v>129</v>
      </c>
      <c r="Q214" s="35" t="s">
        <v>131</v>
      </c>
      <c r="R214" s="69" t="s">
        <v>51</v>
      </c>
      <c r="S214" s="15"/>
      <c r="T214" s="97" t="s">
        <v>52</v>
      </c>
      <c r="AF214" s="15"/>
      <c r="AG214" s="27"/>
      <c r="BF214" s="15"/>
    </row>
    <row r="215" spans="2:58" s="60" customFormat="1" ht="44.1" customHeight="1" thickBot="1">
      <c r="B215" s="11" t="str">
        <f>CONCATENATE($B$11+0.26)</f>
        <v>0.26</v>
      </c>
      <c r="C215" s="21">
        <f>VLOOKUP(B215,'Impact Model'!$B$15:$L$340,2,FALSE)</f>
        <v>0</v>
      </c>
      <c r="D215" s="11" t="str">
        <f>CONCATENATE($B215,"a")</f>
        <v>0.26a</v>
      </c>
      <c r="E215" s="21">
        <f>VLOOKUP(D215,'Impact Model'!$D$15:$L$340,2,FALSE)</f>
        <v>0</v>
      </c>
      <c r="F215" s="21" t="e">
        <f t="array" ref="F215">INDEX('Impact Model'!$D$15:$F$340,MATCH(D215&amp;E215,'Impact Model'!$D$15:$D$340&amp;'Impact Model'!$E$15:$E$340,0),3)</f>
        <v>#N/A</v>
      </c>
      <c r="G215" s="21" t="e">
        <f t="array" ref="G215">INDEX('Impact Model'!$D$15:$H$340,MATCH(D215&amp;E215,'Impact Model'!$D$15:$D$340&amp;'Impact Model'!$E$15:$E$340,0),5)</f>
        <v>#N/A</v>
      </c>
      <c r="H215" s="93"/>
      <c r="I215" s="94"/>
      <c r="J215" s="142" t="s">
        <v>67</v>
      </c>
      <c r="K215" s="142" t="s">
        <v>77</v>
      </c>
      <c r="L215" s="143" t="b">
        <f>IF(K215="Finite end point","Continue to Column M",IF(K215="Five yearly time-step","Switch to Offset Model_5 yearly"))</f>
        <v>0</v>
      </c>
      <c r="M215" s="70"/>
      <c r="N215" s="70"/>
      <c r="O215" s="70"/>
      <c r="P215" s="4" t="str">
        <f>IF(K215="Finite end point",IFERROR(IF(ISBLANK(O215),"",((IF($J215="Low confidence &gt;50% &lt;75%",(IF(N215&lt;$G215,N215/$G215,1)-IF(M215&lt;$G215,M215/$G215,1))*0.62,IF($J215="Confident 75-90%",(IF(N215&lt;$G215,N215/$G215,1)-IF(M215&lt;$G215,M215/$G215,1))*0.825,IF($J215="Very confident &gt;90%",(IF(N215&lt;$G215,N215/$G215,1)-IF(M215&lt;$G215,M215/$G215,1))*0.955)))))/(1+$E$11)^O215)*(I215),"Not calculated"),"Not calculated")</f>
        <v>Not calculated</v>
      </c>
      <c r="Q215" s="4" t="e">
        <f t="array" ref="Q215">INDEX('Impact Model'!$D$15:$L$340,MATCH(D215&amp;E215,'Impact Model'!$D$15:$D$340&amp;'Impact Model'!$E$15:$E$340,0),8)</f>
        <v>#N/A</v>
      </c>
      <c r="R215" s="4" t="str">
        <f>IF(K215="Choose option", "Not calculated",IF(K215="Finite end point",SUM(P215:Q215),IF(COUNTIF(#REF!,"&gt;=0")&lt;1,INDEX(#REF!,1,COUNT(#REF!)),INDEX(#REF!,1,MATCH(TRUE,INDEX(#REF!&gt;=0,1,0),)))))</f>
        <v>Not calculated</v>
      </c>
      <c r="S215" s="16"/>
      <c r="T215" s="4" t="str">
        <f>IF(R215="Not calculated","Not calculated",SUM(R215:R219)/ROUND(COUNTIF(R215:R219,"&gt;0")+COUNTIF(R215:R219,"&lt;0"),0))</f>
        <v>Not calculated</v>
      </c>
      <c r="U215" s="113"/>
      <c r="AF215" s="32"/>
      <c r="AG215" s="27"/>
      <c r="BF215" s="32"/>
    </row>
    <row r="216" spans="2:58" ht="44.1" customHeight="1" thickBot="1">
      <c r="B216" s="17"/>
      <c r="C216" s="17"/>
      <c r="D216" s="11" t="str">
        <f>CONCATENATE($B215,"b")</f>
        <v>0.26b</v>
      </c>
      <c r="E216" s="21">
        <f>VLOOKUP(D216,'Impact Model'!$D$15:$L$340,2,FALSE)</f>
        <v>0</v>
      </c>
      <c r="F216" s="21" t="e">
        <f t="array" ref="F216">INDEX('Impact Model'!$D$15:$F$340,MATCH(D216&amp;E216,'Impact Model'!$D$15:$D$340&amp;'Impact Model'!$E$15:$E$340,0),3)</f>
        <v>#N/A</v>
      </c>
      <c r="G216" s="21" t="e">
        <f t="array" ref="G216">INDEX('Impact Model'!$D$15:$H$340,MATCH(D216&amp;E216,'Impact Model'!$D$15:$D$340&amp;'Impact Model'!$E$15:$E$340,0),5)</f>
        <v>#N/A</v>
      </c>
      <c r="H216" s="93"/>
      <c r="I216" s="94"/>
      <c r="J216" s="142" t="s">
        <v>67</v>
      </c>
      <c r="K216" s="142" t="s">
        <v>77</v>
      </c>
      <c r="L216" s="143" t="b">
        <f>IF(K216="Finite end point","Continue to Column M",IF(K216="Five yearly time-step","Switch to Offset Model_5 yearly"))</f>
        <v>0</v>
      </c>
      <c r="M216" s="70"/>
      <c r="N216" s="70"/>
      <c r="O216" s="70"/>
      <c r="P216" s="4" t="str">
        <f t="shared" ref="P216:P219" si="25">IF(K216="Finite end point",IFERROR(IF(ISBLANK(O216),"",((IF($J216="Low confidence &gt;50% &lt;75%",(IF(N216&lt;$G216,N216/$G216,1)-IF(M216&lt;$G216,M216/$G216,1))*0.62,IF($J216="Confident 75-90%",(IF(N216&lt;$G216,N216/$G216,1)-IF(M216&lt;$G216,M216/$G216,1))*0.825,IF($J216="Very confident &gt;90%",(IF(N216&lt;$G216,N216/$G216,1)-IF(M216&lt;$G216,M216/$G216,1))*0.955)))))/(1+$E$11)^O216)*(I216),"Not calculated"),"Not calculated")</f>
        <v>Not calculated</v>
      </c>
      <c r="Q216" s="4" t="e">
        <f t="array" ref="Q216">INDEX('Impact Model'!$D$15:$L$340,MATCH(D216&amp;E216,'Impact Model'!$D$15:$D$340&amp;'Impact Model'!$E$15:$E$340,0),8)</f>
        <v>#N/A</v>
      </c>
      <c r="R216" s="4" t="str">
        <f>IF(K216="Choose option", "Not calculated",IF(K216="Finite end point",SUM(P216:Q216),IF(COUNTIF(#REF!,"&gt;=0")&lt;1,INDEX(#REF!,1,COUNT(#REF!)),INDEX(#REF!,1,MATCH(TRUE,INDEX(#REF!&gt;=0,1,0),)))))</f>
        <v>Not calculated</v>
      </c>
      <c r="S216" s="18"/>
      <c r="T216" s="3"/>
      <c r="AF216" s="13"/>
      <c r="AG216"/>
      <c r="BF216" s="13"/>
    </row>
    <row r="217" spans="2:58" ht="44.1" customHeight="1" thickBot="1">
      <c r="B217" s="19"/>
      <c r="C217" s="19"/>
      <c r="D217" s="11" t="str">
        <f>CONCATENATE($B215,"c")</f>
        <v>0.26c</v>
      </c>
      <c r="E217" s="21">
        <f>VLOOKUP(D217,'Impact Model'!$D$15:$L$340,2,FALSE)</f>
        <v>0</v>
      </c>
      <c r="F217" s="21" t="e">
        <f t="array" ref="F217">INDEX('Impact Model'!$D$15:$F$340,MATCH(D217&amp;E217,'Impact Model'!$D$15:$D$340&amp;'Impact Model'!$E$15:$E$340,0),3)</f>
        <v>#N/A</v>
      </c>
      <c r="G217" s="21" t="e">
        <f t="array" ref="G217">INDEX('Impact Model'!$D$15:$H$340,MATCH(D217&amp;E217,'Impact Model'!$D$15:$D$340&amp;'Impact Model'!$E$15:$E$340,0),5)</f>
        <v>#N/A</v>
      </c>
      <c r="H217" s="93"/>
      <c r="I217" s="94"/>
      <c r="J217" s="142" t="s">
        <v>67</v>
      </c>
      <c r="K217" s="142" t="s">
        <v>77</v>
      </c>
      <c r="L217" s="143" t="b">
        <f>IF(K217="Finite end point","Continue to Column M",IF(K217="Five yearly time-step","Switch to Offset Model_5 yearly"))</f>
        <v>0</v>
      </c>
      <c r="M217" s="70"/>
      <c r="N217" s="70"/>
      <c r="O217" s="70"/>
      <c r="P217" s="4" t="str">
        <f t="shared" si="25"/>
        <v>Not calculated</v>
      </c>
      <c r="Q217" s="4" t="e">
        <f t="array" ref="Q217">INDEX('Impact Model'!$D$15:$L$340,MATCH(D217&amp;E217,'Impact Model'!$D$15:$D$340&amp;'Impact Model'!$E$15:$E$340,0),8)</f>
        <v>#N/A</v>
      </c>
      <c r="R217" s="4" t="str">
        <f>IF(K217="Choose option", "Not calculated",IF(K217="Finite end point",SUM(P217:Q217),IF(COUNTIF(#REF!,"&gt;=0")&lt;1,INDEX(#REF!,1,COUNT(#REF!)),INDEX(#REF!,1,MATCH(TRUE,INDEX(#REF!&gt;=0,1,0),)))))</f>
        <v>Not calculated</v>
      </c>
      <c r="S217" s="18"/>
      <c r="T217" s="121"/>
      <c r="AF217" s="13"/>
      <c r="AG217"/>
      <c r="BF217" s="13"/>
    </row>
    <row r="218" spans="2:58" ht="44.1" customHeight="1" thickBot="1">
      <c r="B218" s="19"/>
      <c r="C218" s="19"/>
      <c r="D218" s="11" t="str">
        <f>CONCATENATE($B215,"d")</f>
        <v>0.26d</v>
      </c>
      <c r="E218" s="21">
        <f>VLOOKUP(D218,'Impact Model'!$D$15:$L$340,2,FALSE)</f>
        <v>0</v>
      </c>
      <c r="F218" s="21" t="e">
        <f t="array" ref="F218">INDEX('Impact Model'!$D$15:$F$340,MATCH(D218&amp;E218,'Impact Model'!$D$15:$D$340&amp;'Impact Model'!$E$15:$E$340,0),3)</f>
        <v>#N/A</v>
      </c>
      <c r="G218" s="21" t="e">
        <f t="array" ref="G218">INDEX('Impact Model'!$D$15:$H$340,MATCH(D218&amp;E218,'Impact Model'!$D$15:$D$340&amp;'Impact Model'!$E$15:$E$340,0),5)</f>
        <v>#N/A</v>
      </c>
      <c r="H218" s="93"/>
      <c r="I218" s="94"/>
      <c r="J218" s="142" t="s">
        <v>67</v>
      </c>
      <c r="K218" s="142" t="s">
        <v>77</v>
      </c>
      <c r="L218" s="143" t="b">
        <f>IF(K218="Finite end point","Continue to Column M",IF(K218="Five yearly time-step","Switch to Offset Model_5 yearly"))</f>
        <v>0</v>
      </c>
      <c r="M218" s="70"/>
      <c r="N218" s="70"/>
      <c r="O218" s="70"/>
      <c r="P218" s="4" t="str">
        <f t="shared" si="25"/>
        <v>Not calculated</v>
      </c>
      <c r="Q218" s="4" t="e">
        <f t="array" ref="Q218">INDEX('Impact Model'!$D$15:$L$340,MATCH(D218&amp;E218,'Impact Model'!$D$15:$D$340&amp;'Impact Model'!$E$15:$E$340,0),8)</f>
        <v>#N/A</v>
      </c>
      <c r="R218" s="4" t="str">
        <f>IF(K218="Choose option", "Not calculated",IF(K218="Finite end point",SUM(P218:Q218),IF(COUNTIF(#REF!,"&gt;=0")&lt;1,INDEX(#REF!,1,COUNT(#REF!)),INDEX(#REF!,1,MATCH(TRUE,INDEX(#REF!&gt;=0,1,0),)))))</f>
        <v>Not calculated</v>
      </c>
      <c r="S218" s="18"/>
      <c r="T218" s="3"/>
      <c r="AF218" s="13"/>
      <c r="AG218"/>
      <c r="BF218" s="13"/>
    </row>
    <row r="219" spans="2:58" ht="44.1" customHeight="1" thickBot="1">
      <c r="B219" s="19"/>
      <c r="C219" s="19"/>
      <c r="D219" s="11" t="str">
        <f>CONCATENATE($B215,"e")</f>
        <v>0.26e</v>
      </c>
      <c r="E219" s="21">
        <f>VLOOKUP(D219,'Impact Model'!$D$15:$L$340,2,FALSE)</f>
        <v>0</v>
      </c>
      <c r="F219" s="21" t="e">
        <f t="array" ref="F219">INDEX('Impact Model'!$D$15:$F$340,MATCH(D219&amp;E219,'Impact Model'!$D$15:$D$340&amp;'Impact Model'!$E$15:$E$340,0),3)</f>
        <v>#N/A</v>
      </c>
      <c r="G219" s="21" t="e">
        <f t="array" ref="G219">INDEX('Impact Model'!$D$15:$H$340,MATCH(D219&amp;E219,'Impact Model'!$D$15:$D$340&amp;'Impact Model'!$E$15:$E$340,0),5)</f>
        <v>#N/A</v>
      </c>
      <c r="H219" s="93"/>
      <c r="I219" s="94"/>
      <c r="J219" s="142" t="s">
        <v>67</v>
      </c>
      <c r="K219" s="142" t="s">
        <v>77</v>
      </c>
      <c r="L219" s="143" t="b">
        <f>IF(K219="Finite end point","Continue to Column M",IF(K219="Five yearly time-step","Switch to Offset Model_5 yearly"))</f>
        <v>0</v>
      </c>
      <c r="M219" s="70"/>
      <c r="N219" s="70"/>
      <c r="O219" s="70"/>
      <c r="P219" s="4" t="str">
        <f t="shared" si="25"/>
        <v>Not calculated</v>
      </c>
      <c r="Q219" s="4" t="e">
        <f t="array" ref="Q219">INDEX('Impact Model'!$D$15:$L$340,MATCH(D219&amp;E219,'Impact Model'!$D$15:$D$340&amp;'Impact Model'!$E$15:$E$340,0),8)</f>
        <v>#N/A</v>
      </c>
      <c r="R219" s="4" t="str">
        <f>IF(K219="Choose option", "Not calculated",IF(K219="Finite end point",SUM(P219:Q219),IF(COUNTIF(#REF!,"&gt;=0")&lt;1,INDEX(#REF!,1,COUNT(#REF!)),INDEX(#REF!,1,MATCH(TRUE,INDEX(#REF!&gt;=0,1,0),)))))</f>
        <v>Not calculated</v>
      </c>
      <c r="S219" s="18"/>
      <c r="T219" s="3"/>
      <c r="AF219" s="13"/>
      <c r="AG219"/>
      <c r="BF219" s="13"/>
    </row>
    <row r="220" spans="2:58" ht="15.95" customHeight="1" thickBot="1"/>
    <row r="221" spans="2:58" s="60" customFormat="1" ht="108" customHeight="1">
      <c r="B221" s="12"/>
      <c r="C221" s="184" t="s">
        <v>47</v>
      </c>
      <c r="D221" s="185"/>
      <c r="E221" s="185"/>
      <c r="F221" s="185"/>
      <c r="G221" s="186"/>
      <c r="H221" s="184" t="s">
        <v>62</v>
      </c>
      <c r="I221" s="185"/>
      <c r="J221" s="186"/>
      <c r="K221" s="187" t="s">
        <v>44</v>
      </c>
      <c r="L221" s="188"/>
      <c r="M221" s="184" t="s">
        <v>78</v>
      </c>
      <c r="N221" s="185"/>
      <c r="O221" s="185"/>
      <c r="P221" s="185"/>
      <c r="Q221" s="185"/>
      <c r="R221" s="186"/>
      <c r="T221" s="154" t="s">
        <v>50</v>
      </c>
      <c r="AG221" s="27"/>
      <c r="BF221" s="68"/>
    </row>
    <row r="222" spans="2:58" s="60" customFormat="1" ht="62.1" customHeight="1" thickBot="1">
      <c r="C222" s="147" t="s">
        <v>4</v>
      </c>
      <c r="D222" s="191" t="s">
        <v>5</v>
      </c>
      <c r="E222" s="192"/>
      <c r="F222" s="34" t="s">
        <v>27</v>
      </c>
      <c r="G222" s="69" t="s">
        <v>33</v>
      </c>
      <c r="H222" s="33" t="s">
        <v>59</v>
      </c>
      <c r="I222" s="34" t="s">
        <v>20</v>
      </c>
      <c r="J222" s="22" t="s">
        <v>25</v>
      </c>
      <c r="K222" s="189"/>
      <c r="L222" s="190"/>
      <c r="M222" s="148" t="s">
        <v>84</v>
      </c>
      <c r="N222" s="148" t="s">
        <v>85</v>
      </c>
      <c r="O222" s="33" t="s">
        <v>45</v>
      </c>
      <c r="P222" s="34" t="s">
        <v>129</v>
      </c>
      <c r="Q222" s="35" t="s">
        <v>131</v>
      </c>
      <c r="R222" s="69" t="s">
        <v>51</v>
      </c>
      <c r="S222" s="15"/>
      <c r="T222" s="97" t="s">
        <v>52</v>
      </c>
      <c r="AF222" s="15"/>
      <c r="AG222" s="27"/>
      <c r="BF222" s="15"/>
    </row>
    <row r="223" spans="2:58" s="60" customFormat="1" ht="44.1" customHeight="1" thickBot="1">
      <c r="B223" s="11" t="str">
        <f>CONCATENATE($B$11+0.27)</f>
        <v>0.27</v>
      </c>
      <c r="C223" s="21">
        <f>VLOOKUP(B223,'Impact Model'!$B$15:$L$340,2,FALSE)</f>
        <v>0</v>
      </c>
      <c r="D223" s="11" t="str">
        <f>CONCATENATE($B223,"a")</f>
        <v>0.27a</v>
      </c>
      <c r="E223" s="21">
        <f>VLOOKUP(D223,'Impact Model'!$D$15:$L$340,2,FALSE)</f>
        <v>0</v>
      </c>
      <c r="F223" s="21" t="e">
        <f t="array" ref="F223">INDEX('Impact Model'!$D$15:$F$340,MATCH(D223&amp;E223,'Impact Model'!$D$15:$D$340&amp;'Impact Model'!$E$15:$E$340,0),3)</f>
        <v>#N/A</v>
      </c>
      <c r="G223" s="21" t="e">
        <f t="array" ref="G223">INDEX('Impact Model'!$D$15:$H$340,MATCH(D223&amp;E223,'Impact Model'!$D$15:$D$340&amp;'Impact Model'!$E$15:$E$340,0),5)</f>
        <v>#N/A</v>
      </c>
      <c r="H223" s="93"/>
      <c r="I223" s="94"/>
      <c r="J223" s="142" t="s">
        <v>67</v>
      </c>
      <c r="K223" s="142" t="s">
        <v>77</v>
      </c>
      <c r="L223" s="143" t="b">
        <f>IF(K223="Finite end point","Continue to Column M",IF(K223="Five yearly time-step","Switch to Offset Model_5 yearly"))</f>
        <v>0</v>
      </c>
      <c r="M223" s="70"/>
      <c r="N223" s="70"/>
      <c r="O223" s="70"/>
      <c r="P223" s="4" t="str">
        <f>IF(K223="Finite end point",IFERROR(IF(ISBLANK(O223),"",((IF($J223="Low confidence &gt;50% &lt;75%",(IF(N223&lt;$G223,N223/$G223,1)-IF(M223&lt;$G223,M223/$G223,1))*0.62,IF($J223="Confident 75-90%",(IF(N223&lt;$G223,N223/$G223,1)-IF(M223&lt;$G223,M223/$G223,1))*0.825,IF($J223="Very confident &gt;90%",(IF(N223&lt;$G223,N223/$G223,1)-IF(M223&lt;$G223,M223/$G223,1))*0.955)))))/(1+$E$11)^O223)*(I223),"Not calculated"),"Not calculated")</f>
        <v>Not calculated</v>
      </c>
      <c r="Q223" s="4" t="e">
        <f t="array" ref="Q223">INDEX('Impact Model'!$D$15:$L$340,MATCH(D223&amp;E223,'Impact Model'!$D$15:$D$340&amp;'Impact Model'!$E$15:$E$340,0),8)</f>
        <v>#N/A</v>
      </c>
      <c r="R223" s="4" t="str">
        <f>IF(K223="Choose option", "Not calculated",IF(K223="Finite end point",SUM(P223:Q223),IF(COUNTIF(#REF!,"&gt;=0")&lt;1,INDEX(#REF!,1,COUNT(#REF!)),INDEX(#REF!,1,MATCH(TRUE,INDEX(#REF!&gt;=0,1,0),)))))</f>
        <v>Not calculated</v>
      </c>
      <c r="S223" s="16"/>
      <c r="T223" s="4" t="str">
        <f>IF(R223="Not calculated","Not calculated",SUM(R223:R227)/ROUND(COUNTIF(R223:R227,"&gt;0")+COUNTIF(R223:R227,"&lt;0"),0))</f>
        <v>Not calculated</v>
      </c>
      <c r="U223" s="113"/>
      <c r="AF223" s="32"/>
      <c r="AG223" s="27"/>
      <c r="BF223" s="32"/>
    </row>
    <row r="224" spans="2:58" ht="44.1" customHeight="1" thickBot="1">
      <c r="B224" s="17"/>
      <c r="C224" s="17"/>
      <c r="D224" s="11" t="str">
        <f>CONCATENATE($B223,"b")</f>
        <v>0.27b</v>
      </c>
      <c r="E224" s="21">
        <f>VLOOKUP(D224,'Impact Model'!$D$15:$L$340,2,FALSE)</f>
        <v>0</v>
      </c>
      <c r="F224" s="21" t="e">
        <f t="array" ref="F224">INDEX('Impact Model'!$D$15:$F$340,MATCH(D224&amp;E224,'Impact Model'!$D$15:$D$340&amp;'Impact Model'!$E$15:$E$340,0),3)</f>
        <v>#N/A</v>
      </c>
      <c r="G224" s="21" t="e">
        <f t="array" ref="G224">INDEX('Impact Model'!$D$15:$H$340,MATCH(D224&amp;E224,'Impact Model'!$D$15:$D$340&amp;'Impact Model'!$E$15:$E$340,0),5)</f>
        <v>#N/A</v>
      </c>
      <c r="H224" s="93"/>
      <c r="I224" s="94"/>
      <c r="J224" s="142" t="s">
        <v>67</v>
      </c>
      <c r="K224" s="142" t="s">
        <v>77</v>
      </c>
      <c r="L224" s="143" t="b">
        <f>IF(K224="Finite end point","Continue to Column M",IF(K224="Five yearly time-step","Switch to Offset Model_5 yearly"))</f>
        <v>0</v>
      </c>
      <c r="M224" s="70"/>
      <c r="N224" s="70"/>
      <c r="O224" s="70"/>
      <c r="P224" s="4" t="str">
        <f t="shared" ref="P224:P227" si="26">IF(K224="Finite end point",IFERROR(IF(ISBLANK(O224),"",((IF($J224="Low confidence &gt;50% &lt;75%",(IF(N224&lt;$G224,N224/$G224,1)-IF(M224&lt;$G224,M224/$G224,1))*0.62,IF($J224="Confident 75-90%",(IF(N224&lt;$G224,N224/$G224,1)-IF(M224&lt;$G224,M224/$G224,1))*0.825,IF($J224="Very confident &gt;90%",(IF(N224&lt;$G224,N224/$G224,1)-IF(M224&lt;$G224,M224/$G224,1))*0.955)))))/(1+$E$11)^O224)*(I224),"Not calculated"),"Not calculated")</f>
        <v>Not calculated</v>
      </c>
      <c r="Q224" s="4" t="e">
        <f t="array" ref="Q224">INDEX('Impact Model'!$D$15:$L$340,MATCH(D224&amp;E224,'Impact Model'!$D$15:$D$340&amp;'Impact Model'!$E$15:$E$340,0),8)</f>
        <v>#N/A</v>
      </c>
      <c r="R224" s="4" t="str">
        <f>IF(K224="Choose option", "Not calculated",IF(K224="Finite end point",SUM(P224:Q224),IF(COUNTIF(#REF!,"&gt;=0")&lt;1,INDEX(#REF!,1,COUNT(#REF!)),INDEX(#REF!,1,MATCH(TRUE,INDEX(#REF!&gt;=0,1,0),)))))</f>
        <v>Not calculated</v>
      </c>
      <c r="S224" s="18"/>
      <c r="T224" s="3"/>
      <c r="AF224" s="13"/>
      <c r="AG224"/>
      <c r="BF224" s="13"/>
    </row>
    <row r="225" spans="2:58" ht="44.1" customHeight="1" thickBot="1">
      <c r="B225" s="19"/>
      <c r="C225" s="19"/>
      <c r="D225" s="11" t="str">
        <f>CONCATENATE($B223,"c")</f>
        <v>0.27c</v>
      </c>
      <c r="E225" s="21">
        <f>VLOOKUP(D225,'Impact Model'!$D$15:$L$340,2,FALSE)</f>
        <v>0</v>
      </c>
      <c r="F225" s="21" t="e">
        <f t="array" ref="F225">INDEX('Impact Model'!$D$15:$F$340,MATCH(D225&amp;E225,'Impact Model'!$D$15:$D$340&amp;'Impact Model'!$E$15:$E$340,0),3)</f>
        <v>#N/A</v>
      </c>
      <c r="G225" s="21" t="e">
        <f t="array" ref="G225">INDEX('Impact Model'!$D$15:$H$340,MATCH(D225&amp;E225,'Impact Model'!$D$15:$D$340&amp;'Impact Model'!$E$15:$E$340,0),5)</f>
        <v>#N/A</v>
      </c>
      <c r="H225" s="93"/>
      <c r="I225" s="94"/>
      <c r="J225" s="142" t="s">
        <v>67</v>
      </c>
      <c r="K225" s="142" t="s">
        <v>77</v>
      </c>
      <c r="L225" s="143" t="b">
        <f>IF(K225="Finite end point","Continue to Column M",IF(K225="Five yearly time-step","Switch to Offset Model_5 yearly"))</f>
        <v>0</v>
      </c>
      <c r="M225" s="70"/>
      <c r="N225" s="70"/>
      <c r="O225" s="70"/>
      <c r="P225" s="4" t="str">
        <f t="shared" si="26"/>
        <v>Not calculated</v>
      </c>
      <c r="Q225" s="4" t="e">
        <f t="array" ref="Q225">INDEX('Impact Model'!$D$15:$L$340,MATCH(D225&amp;E225,'Impact Model'!$D$15:$D$340&amp;'Impact Model'!$E$15:$E$340,0),8)</f>
        <v>#N/A</v>
      </c>
      <c r="R225" s="4" t="str">
        <f>IF(K225="Choose option", "Not calculated",IF(K225="Finite end point",SUM(P225:Q225),IF(COUNTIF(#REF!,"&gt;=0")&lt;1,INDEX(#REF!,1,COUNT(#REF!)),INDEX(#REF!,1,MATCH(TRUE,INDEX(#REF!&gt;=0,1,0),)))))</f>
        <v>Not calculated</v>
      </c>
      <c r="S225" s="18"/>
      <c r="T225" s="121"/>
      <c r="AF225" s="13"/>
      <c r="AG225"/>
      <c r="BF225" s="13"/>
    </row>
    <row r="226" spans="2:58" ht="44.1" customHeight="1" thickBot="1">
      <c r="B226" s="19"/>
      <c r="C226" s="19"/>
      <c r="D226" s="11" t="str">
        <f>CONCATENATE($B223,"d")</f>
        <v>0.27d</v>
      </c>
      <c r="E226" s="21">
        <f>VLOOKUP(D226,'Impact Model'!$D$15:$L$340,2,FALSE)</f>
        <v>0</v>
      </c>
      <c r="F226" s="21" t="e">
        <f t="array" ref="F226">INDEX('Impact Model'!$D$15:$F$340,MATCH(D226&amp;E226,'Impact Model'!$D$15:$D$340&amp;'Impact Model'!$E$15:$E$340,0),3)</f>
        <v>#N/A</v>
      </c>
      <c r="G226" s="21" t="e">
        <f t="array" ref="G226">INDEX('Impact Model'!$D$15:$H$340,MATCH(D226&amp;E226,'Impact Model'!$D$15:$D$340&amp;'Impact Model'!$E$15:$E$340,0),5)</f>
        <v>#N/A</v>
      </c>
      <c r="H226" s="93"/>
      <c r="I226" s="94"/>
      <c r="J226" s="142" t="s">
        <v>67</v>
      </c>
      <c r="K226" s="142" t="s">
        <v>77</v>
      </c>
      <c r="L226" s="143" t="b">
        <f>IF(K226="Finite end point","Continue to Column M",IF(K226="Five yearly time-step","Switch to Offset Model_5 yearly"))</f>
        <v>0</v>
      </c>
      <c r="M226" s="70"/>
      <c r="N226" s="70"/>
      <c r="O226" s="70"/>
      <c r="P226" s="4" t="str">
        <f t="shared" si="26"/>
        <v>Not calculated</v>
      </c>
      <c r="Q226" s="4" t="e">
        <f t="array" ref="Q226">INDEX('Impact Model'!$D$15:$L$340,MATCH(D226&amp;E226,'Impact Model'!$D$15:$D$340&amp;'Impact Model'!$E$15:$E$340,0),8)</f>
        <v>#N/A</v>
      </c>
      <c r="R226" s="4" t="str">
        <f>IF(K226="Choose option", "Not calculated",IF(K226="Finite end point",SUM(P226:Q226),IF(COUNTIF(#REF!,"&gt;=0")&lt;1,INDEX(#REF!,1,COUNT(#REF!)),INDEX(#REF!,1,MATCH(TRUE,INDEX(#REF!&gt;=0,1,0),)))))</f>
        <v>Not calculated</v>
      </c>
      <c r="S226" s="18"/>
      <c r="T226" s="3"/>
      <c r="AF226" s="13"/>
      <c r="AG226"/>
      <c r="BF226" s="13"/>
    </row>
    <row r="227" spans="2:58" ht="44.1" customHeight="1" thickBot="1">
      <c r="B227" s="19"/>
      <c r="C227" s="19"/>
      <c r="D227" s="11" t="str">
        <f>CONCATENATE($B223,"e")</f>
        <v>0.27e</v>
      </c>
      <c r="E227" s="21">
        <f>VLOOKUP(D227,'Impact Model'!$D$15:$L$340,2,FALSE)</f>
        <v>0</v>
      </c>
      <c r="F227" s="21" t="e">
        <f t="array" ref="F227">INDEX('Impact Model'!$D$15:$F$340,MATCH(D227&amp;E227,'Impact Model'!$D$15:$D$340&amp;'Impact Model'!$E$15:$E$340,0),3)</f>
        <v>#N/A</v>
      </c>
      <c r="G227" s="21" t="e">
        <f t="array" ref="G227">INDEX('Impact Model'!$D$15:$H$340,MATCH(D227&amp;E227,'Impact Model'!$D$15:$D$340&amp;'Impact Model'!$E$15:$E$340,0),5)</f>
        <v>#N/A</v>
      </c>
      <c r="H227" s="93"/>
      <c r="I227" s="94"/>
      <c r="J227" s="142" t="s">
        <v>67</v>
      </c>
      <c r="K227" s="142" t="s">
        <v>77</v>
      </c>
      <c r="L227" s="143" t="b">
        <f>IF(K227="Finite end point","Continue to Column M",IF(K227="Five yearly time-step","Switch to Offset Model_5 yearly"))</f>
        <v>0</v>
      </c>
      <c r="M227" s="70"/>
      <c r="N227" s="70"/>
      <c r="O227" s="70"/>
      <c r="P227" s="4" t="str">
        <f t="shared" si="26"/>
        <v>Not calculated</v>
      </c>
      <c r="Q227" s="4" t="e">
        <f t="array" ref="Q227">INDEX('Impact Model'!$D$15:$L$340,MATCH(D227&amp;E227,'Impact Model'!$D$15:$D$340&amp;'Impact Model'!$E$15:$E$340,0),8)</f>
        <v>#N/A</v>
      </c>
      <c r="R227" s="4" t="str">
        <f>IF(K227="Choose option", "Not calculated",IF(K227="Finite end point",SUM(P227:Q227),IF(COUNTIF(#REF!,"&gt;=0")&lt;1,INDEX(#REF!,1,COUNT(#REF!)),INDEX(#REF!,1,MATCH(TRUE,INDEX(#REF!&gt;=0,1,0),)))))</f>
        <v>Not calculated</v>
      </c>
      <c r="S227" s="18"/>
      <c r="T227" s="3"/>
      <c r="AF227" s="13"/>
      <c r="AG227"/>
      <c r="BF227" s="13"/>
    </row>
    <row r="228" spans="2:58" ht="15.95" customHeight="1" thickBot="1"/>
    <row r="229" spans="2:58" s="60" customFormat="1" ht="108" customHeight="1">
      <c r="B229" s="12"/>
      <c r="C229" s="184" t="s">
        <v>47</v>
      </c>
      <c r="D229" s="185"/>
      <c r="E229" s="185"/>
      <c r="F229" s="185"/>
      <c r="G229" s="186"/>
      <c r="H229" s="184" t="s">
        <v>62</v>
      </c>
      <c r="I229" s="185"/>
      <c r="J229" s="186"/>
      <c r="K229" s="187" t="s">
        <v>44</v>
      </c>
      <c r="L229" s="188"/>
      <c r="M229" s="184" t="s">
        <v>78</v>
      </c>
      <c r="N229" s="185"/>
      <c r="O229" s="185"/>
      <c r="P229" s="185"/>
      <c r="Q229" s="185"/>
      <c r="R229" s="186"/>
      <c r="T229" s="154" t="s">
        <v>50</v>
      </c>
      <c r="AG229" s="27"/>
      <c r="BF229" s="68"/>
    </row>
    <row r="230" spans="2:58" s="60" customFormat="1" ht="62.1" customHeight="1" thickBot="1">
      <c r="C230" s="147" t="s">
        <v>4</v>
      </c>
      <c r="D230" s="191" t="s">
        <v>5</v>
      </c>
      <c r="E230" s="192"/>
      <c r="F230" s="34" t="s">
        <v>27</v>
      </c>
      <c r="G230" s="69" t="s">
        <v>33</v>
      </c>
      <c r="H230" s="33" t="s">
        <v>59</v>
      </c>
      <c r="I230" s="34" t="s">
        <v>20</v>
      </c>
      <c r="J230" s="22" t="s">
        <v>25</v>
      </c>
      <c r="K230" s="189"/>
      <c r="L230" s="190"/>
      <c r="M230" s="148" t="s">
        <v>84</v>
      </c>
      <c r="N230" s="148" t="s">
        <v>85</v>
      </c>
      <c r="O230" s="33" t="s">
        <v>45</v>
      </c>
      <c r="P230" s="34" t="s">
        <v>129</v>
      </c>
      <c r="Q230" s="35" t="s">
        <v>131</v>
      </c>
      <c r="R230" s="69" t="s">
        <v>51</v>
      </c>
      <c r="S230" s="15"/>
      <c r="T230" s="97" t="s">
        <v>52</v>
      </c>
      <c r="AF230" s="15"/>
      <c r="AG230" s="27"/>
      <c r="BF230" s="15"/>
    </row>
    <row r="231" spans="2:58" s="60" customFormat="1" ht="44.1" customHeight="1" thickBot="1">
      <c r="B231" s="11" t="str">
        <f>CONCATENATE($B$11+0.28)</f>
        <v>0.28</v>
      </c>
      <c r="C231" s="21">
        <f>VLOOKUP(B231,'Impact Model'!$B$15:$L$340,2,FALSE)</f>
        <v>0</v>
      </c>
      <c r="D231" s="11" t="str">
        <f>CONCATENATE($B231,"a")</f>
        <v>0.28a</v>
      </c>
      <c r="E231" s="21">
        <f>VLOOKUP(D231,'Impact Model'!$D$15:$L$340,2,FALSE)</f>
        <v>0</v>
      </c>
      <c r="F231" s="21" t="e">
        <f t="array" ref="F231">INDEX('Impact Model'!$D$15:$F$340,MATCH(D231&amp;E231,'Impact Model'!$D$15:$D$340&amp;'Impact Model'!$E$15:$E$340,0),3)</f>
        <v>#N/A</v>
      </c>
      <c r="G231" s="21" t="e">
        <f t="array" ref="G231">INDEX('Impact Model'!$D$15:$H$340,MATCH(D231&amp;E231,'Impact Model'!$D$15:$D$340&amp;'Impact Model'!$E$15:$E$340,0),5)</f>
        <v>#N/A</v>
      </c>
      <c r="H231" s="93"/>
      <c r="I231" s="94"/>
      <c r="J231" s="142" t="s">
        <v>67</v>
      </c>
      <c r="K231" s="142" t="s">
        <v>77</v>
      </c>
      <c r="L231" s="143" t="b">
        <f>IF(K231="Finite end point","Continue to Column M",IF(K231="Five yearly time-step","Switch to Offset Model_5 yearly"))</f>
        <v>0</v>
      </c>
      <c r="M231" s="70"/>
      <c r="N231" s="70"/>
      <c r="O231" s="70"/>
      <c r="P231" s="4" t="str">
        <f>IF(K231="Finite end point",IFERROR(IF(ISBLANK(O231),"",((IF($J231="Low confidence &gt;50% &lt;75%",(IF(N231&lt;$G231,N231/$G231,1)-IF(M231&lt;$G231,M231/$G231,1))*0.62,IF($J231="Confident 75-90%",(IF(N231&lt;$G231,N231/$G231,1)-IF(M231&lt;$G231,M231/$G231,1))*0.825,IF($J231="Very confident &gt;90%",(IF(N231&lt;$G231,N231/$G231,1)-IF(M231&lt;$G231,M231/$G231,1))*0.955)))))/(1+$E$11)^O231)*(I231),"Not calculated"),"Not calculated")</f>
        <v>Not calculated</v>
      </c>
      <c r="Q231" s="4" t="e">
        <f t="array" ref="Q231">INDEX('Impact Model'!$D$15:$L$340,MATCH(D231&amp;E231,'Impact Model'!$D$15:$D$340&amp;'Impact Model'!$E$15:$E$340,0),8)</f>
        <v>#N/A</v>
      </c>
      <c r="R231" s="4" t="str">
        <f>IF(K231="Choose option", "Not calculated",IF(K231="Finite end point",SUM(P231:Q231),IF(COUNTIF(#REF!,"&gt;=0")&lt;1,INDEX(#REF!,1,COUNT(#REF!)),INDEX(#REF!,1,MATCH(TRUE,INDEX(#REF!&gt;=0,1,0),)))))</f>
        <v>Not calculated</v>
      </c>
      <c r="S231" s="16"/>
      <c r="T231" s="4" t="str">
        <f>IF(R231="Not calculated","Not calculated",SUM(R231:R235)/ROUND(COUNTIF(R231:R235,"&gt;0")+COUNTIF(R231:R235,"&lt;0"),0))</f>
        <v>Not calculated</v>
      </c>
      <c r="U231" s="113"/>
      <c r="AF231" s="32"/>
      <c r="AG231" s="27"/>
      <c r="BF231" s="32"/>
    </row>
    <row r="232" spans="2:58" ht="44.1" customHeight="1" thickBot="1">
      <c r="B232" s="17"/>
      <c r="C232" s="17"/>
      <c r="D232" s="11" t="str">
        <f>CONCATENATE($B231,"b")</f>
        <v>0.28b</v>
      </c>
      <c r="E232" s="21">
        <f>VLOOKUP(D232,'Impact Model'!$D$15:$L$340,2,FALSE)</f>
        <v>0</v>
      </c>
      <c r="F232" s="21" t="e">
        <f t="array" ref="F232">INDEX('Impact Model'!$D$15:$F$340,MATCH(D232&amp;E232,'Impact Model'!$D$15:$D$340&amp;'Impact Model'!$E$15:$E$340,0),3)</f>
        <v>#N/A</v>
      </c>
      <c r="G232" s="21" t="e">
        <f t="array" ref="G232">INDEX('Impact Model'!$D$15:$H$340,MATCH(D232&amp;E232,'Impact Model'!$D$15:$D$340&amp;'Impact Model'!$E$15:$E$340,0),5)</f>
        <v>#N/A</v>
      </c>
      <c r="H232" s="93"/>
      <c r="I232" s="94"/>
      <c r="J232" s="142" t="s">
        <v>67</v>
      </c>
      <c r="K232" s="142" t="s">
        <v>77</v>
      </c>
      <c r="L232" s="143" t="b">
        <f>IF(K232="Finite end point","Continue to Column M",IF(K232="Five yearly time-step","Switch to Offset Model_5 yearly"))</f>
        <v>0</v>
      </c>
      <c r="M232" s="70"/>
      <c r="N232" s="70"/>
      <c r="O232" s="70"/>
      <c r="P232" s="4" t="str">
        <f t="shared" ref="P232:P235" si="27">IF(K232="Finite end point",IFERROR(IF(ISBLANK(O232),"",((IF($J232="Low confidence &gt;50% &lt;75%",(IF(N232&lt;$G232,N232/$G232,1)-IF(M232&lt;$G232,M232/$G232,1))*0.62,IF($J232="Confident 75-90%",(IF(N232&lt;$G232,N232/$G232,1)-IF(M232&lt;$G232,M232/$G232,1))*0.825,IF($J232="Very confident &gt;90%",(IF(N232&lt;$G232,N232/$G232,1)-IF(M232&lt;$G232,M232/$G232,1))*0.955)))))/(1+$E$11)^O232)*(I232),"Not calculated"),"Not calculated")</f>
        <v>Not calculated</v>
      </c>
      <c r="Q232" s="4" t="e">
        <f t="array" ref="Q232">INDEX('Impact Model'!$D$15:$L$340,MATCH(D232&amp;E232,'Impact Model'!$D$15:$D$340&amp;'Impact Model'!$E$15:$E$340,0),8)</f>
        <v>#N/A</v>
      </c>
      <c r="R232" s="4" t="str">
        <f>IF(K232="Choose option", "Not calculated",IF(K232="Finite end point",SUM(P232:Q232),IF(COUNTIF(#REF!,"&gt;=0")&lt;1,INDEX(#REF!,1,COUNT(#REF!)),INDEX(#REF!,1,MATCH(TRUE,INDEX(#REF!&gt;=0,1,0),)))))</f>
        <v>Not calculated</v>
      </c>
      <c r="S232" s="18"/>
      <c r="T232" s="3"/>
      <c r="AF232" s="13"/>
      <c r="AG232"/>
      <c r="BF232" s="13"/>
    </row>
    <row r="233" spans="2:58" ht="44.1" customHeight="1" thickBot="1">
      <c r="B233" s="19"/>
      <c r="C233" s="19"/>
      <c r="D233" s="11" t="str">
        <f>CONCATENATE($B231,"c")</f>
        <v>0.28c</v>
      </c>
      <c r="E233" s="21">
        <f>VLOOKUP(D233,'Impact Model'!$D$15:$L$340,2,FALSE)</f>
        <v>0</v>
      </c>
      <c r="F233" s="21" t="e">
        <f t="array" ref="F233">INDEX('Impact Model'!$D$15:$F$340,MATCH(D233&amp;E233,'Impact Model'!$D$15:$D$340&amp;'Impact Model'!$E$15:$E$340,0),3)</f>
        <v>#N/A</v>
      </c>
      <c r="G233" s="21" t="e">
        <f t="array" ref="G233">INDEX('Impact Model'!$D$15:$H$340,MATCH(D233&amp;E233,'Impact Model'!$D$15:$D$340&amp;'Impact Model'!$E$15:$E$340,0),5)</f>
        <v>#N/A</v>
      </c>
      <c r="H233" s="93"/>
      <c r="I233" s="94"/>
      <c r="J233" s="142" t="s">
        <v>67</v>
      </c>
      <c r="K233" s="142" t="s">
        <v>77</v>
      </c>
      <c r="L233" s="143" t="b">
        <f>IF(K233="Finite end point","Continue to Column M",IF(K233="Five yearly time-step","Switch to Offset Model_5 yearly"))</f>
        <v>0</v>
      </c>
      <c r="M233" s="70"/>
      <c r="N233" s="70"/>
      <c r="O233" s="70"/>
      <c r="P233" s="4" t="str">
        <f t="shared" si="27"/>
        <v>Not calculated</v>
      </c>
      <c r="Q233" s="4" t="e">
        <f t="array" ref="Q233">INDEX('Impact Model'!$D$15:$L$340,MATCH(D233&amp;E233,'Impact Model'!$D$15:$D$340&amp;'Impact Model'!$E$15:$E$340,0),8)</f>
        <v>#N/A</v>
      </c>
      <c r="R233" s="4" t="str">
        <f>IF(K233="Choose option", "Not calculated",IF(K233="Finite end point",SUM(P233:Q233),IF(COUNTIF(#REF!,"&gt;=0")&lt;1,INDEX(#REF!,1,COUNT(#REF!)),INDEX(#REF!,1,MATCH(TRUE,INDEX(#REF!&gt;=0,1,0),)))))</f>
        <v>Not calculated</v>
      </c>
      <c r="S233" s="18"/>
      <c r="T233" s="121"/>
      <c r="AF233" s="13"/>
      <c r="AG233"/>
      <c r="BF233" s="13"/>
    </row>
    <row r="234" spans="2:58" ht="44.1" customHeight="1" thickBot="1">
      <c r="B234" s="19"/>
      <c r="C234" s="19"/>
      <c r="D234" s="11" t="str">
        <f>CONCATENATE($B231,"d")</f>
        <v>0.28d</v>
      </c>
      <c r="E234" s="21">
        <f>VLOOKUP(D234,'Impact Model'!$D$15:$L$340,2,FALSE)</f>
        <v>0</v>
      </c>
      <c r="F234" s="21" t="e">
        <f t="array" ref="F234">INDEX('Impact Model'!$D$15:$F$340,MATCH(D234&amp;E234,'Impact Model'!$D$15:$D$340&amp;'Impact Model'!$E$15:$E$340,0),3)</f>
        <v>#N/A</v>
      </c>
      <c r="G234" s="21" t="e">
        <f t="array" ref="G234">INDEX('Impact Model'!$D$15:$H$340,MATCH(D234&amp;E234,'Impact Model'!$D$15:$D$340&amp;'Impact Model'!$E$15:$E$340,0),5)</f>
        <v>#N/A</v>
      </c>
      <c r="H234" s="93"/>
      <c r="I234" s="94"/>
      <c r="J234" s="142" t="s">
        <v>67</v>
      </c>
      <c r="K234" s="142" t="s">
        <v>77</v>
      </c>
      <c r="L234" s="143" t="b">
        <f>IF(K234="Finite end point","Continue to Column M",IF(K234="Five yearly time-step","Switch to Offset Model_5 yearly"))</f>
        <v>0</v>
      </c>
      <c r="M234" s="70"/>
      <c r="N234" s="70"/>
      <c r="O234" s="70"/>
      <c r="P234" s="4" t="str">
        <f t="shared" si="27"/>
        <v>Not calculated</v>
      </c>
      <c r="Q234" s="4" t="e">
        <f t="array" ref="Q234">INDEX('Impact Model'!$D$15:$L$340,MATCH(D234&amp;E234,'Impact Model'!$D$15:$D$340&amp;'Impact Model'!$E$15:$E$340,0),8)</f>
        <v>#N/A</v>
      </c>
      <c r="R234" s="4" t="str">
        <f>IF(K234="Choose option", "Not calculated",IF(K234="Finite end point",SUM(P234:Q234),IF(COUNTIF(#REF!,"&gt;=0")&lt;1,INDEX(#REF!,1,COUNT(#REF!)),INDEX(#REF!,1,MATCH(TRUE,INDEX(#REF!&gt;=0,1,0),)))))</f>
        <v>Not calculated</v>
      </c>
      <c r="S234" s="18"/>
      <c r="T234" s="3"/>
      <c r="AF234" s="13"/>
      <c r="AG234"/>
      <c r="BF234" s="13"/>
    </row>
    <row r="235" spans="2:58" ht="44.1" customHeight="1" thickBot="1">
      <c r="B235" s="19"/>
      <c r="C235" s="19"/>
      <c r="D235" s="11" t="str">
        <f>CONCATENATE($B231,"e")</f>
        <v>0.28e</v>
      </c>
      <c r="E235" s="21">
        <f>VLOOKUP(D235,'Impact Model'!$D$15:$L$340,2,FALSE)</f>
        <v>0</v>
      </c>
      <c r="F235" s="21" t="e">
        <f t="array" ref="F235">INDEX('Impact Model'!$D$15:$F$340,MATCH(D235&amp;E235,'Impact Model'!$D$15:$D$340&amp;'Impact Model'!$E$15:$E$340,0),3)</f>
        <v>#N/A</v>
      </c>
      <c r="G235" s="21" t="e">
        <f t="array" ref="G235">INDEX('Impact Model'!$D$15:$H$340,MATCH(D235&amp;E235,'Impact Model'!$D$15:$D$340&amp;'Impact Model'!$E$15:$E$340,0),5)</f>
        <v>#N/A</v>
      </c>
      <c r="H235" s="93"/>
      <c r="I235" s="94"/>
      <c r="J235" s="142" t="s">
        <v>67</v>
      </c>
      <c r="K235" s="142" t="s">
        <v>77</v>
      </c>
      <c r="L235" s="143" t="b">
        <f>IF(K235="Finite end point","Continue to Column M",IF(K235="Five yearly time-step","Switch to Offset Model_5 yearly"))</f>
        <v>0</v>
      </c>
      <c r="M235" s="70"/>
      <c r="N235" s="70"/>
      <c r="O235" s="70"/>
      <c r="P235" s="4" t="str">
        <f t="shared" si="27"/>
        <v>Not calculated</v>
      </c>
      <c r="Q235" s="4" t="e">
        <f t="array" ref="Q235">INDEX('Impact Model'!$D$15:$L$340,MATCH(D235&amp;E235,'Impact Model'!$D$15:$D$340&amp;'Impact Model'!$E$15:$E$340,0),8)</f>
        <v>#N/A</v>
      </c>
      <c r="R235" s="4" t="str">
        <f>IF(K235="Choose option", "Not calculated",IF(K235="Finite end point",SUM(P235:Q235),IF(COUNTIF(#REF!,"&gt;=0")&lt;1,INDEX(#REF!,1,COUNT(#REF!)),INDEX(#REF!,1,MATCH(TRUE,INDEX(#REF!&gt;=0,1,0),)))))</f>
        <v>Not calculated</v>
      </c>
      <c r="S235" s="18"/>
      <c r="T235" s="3"/>
      <c r="AF235" s="13"/>
      <c r="AG235"/>
      <c r="BF235" s="13"/>
    </row>
    <row r="236" spans="2:58" ht="15.95" customHeight="1" thickBot="1"/>
    <row r="237" spans="2:58" s="60" customFormat="1" ht="108" customHeight="1">
      <c r="B237" s="12"/>
      <c r="C237" s="184" t="s">
        <v>47</v>
      </c>
      <c r="D237" s="185"/>
      <c r="E237" s="185"/>
      <c r="F237" s="185"/>
      <c r="G237" s="186"/>
      <c r="H237" s="184" t="s">
        <v>62</v>
      </c>
      <c r="I237" s="185"/>
      <c r="J237" s="186"/>
      <c r="K237" s="187" t="s">
        <v>44</v>
      </c>
      <c r="L237" s="188"/>
      <c r="M237" s="184" t="s">
        <v>78</v>
      </c>
      <c r="N237" s="185"/>
      <c r="O237" s="185"/>
      <c r="P237" s="185"/>
      <c r="Q237" s="185"/>
      <c r="R237" s="186"/>
      <c r="T237" s="154" t="s">
        <v>50</v>
      </c>
      <c r="AG237" s="27"/>
      <c r="BF237" s="68"/>
    </row>
    <row r="238" spans="2:58" s="60" customFormat="1" ht="62.1" customHeight="1" thickBot="1">
      <c r="C238" s="147" t="s">
        <v>4</v>
      </c>
      <c r="D238" s="191" t="s">
        <v>5</v>
      </c>
      <c r="E238" s="192"/>
      <c r="F238" s="34" t="s">
        <v>27</v>
      </c>
      <c r="G238" s="69" t="s">
        <v>33</v>
      </c>
      <c r="H238" s="33" t="s">
        <v>59</v>
      </c>
      <c r="I238" s="34" t="s">
        <v>20</v>
      </c>
      <c r="J238" s="22" t="s">
        <v>25</v>
      </c>
      <c r="K238" s="189"/>
      <c r="L238" s="190"/>
      <c r="M238" s="148" t="s">
        <v>84</v>
      </c>
      <c r="N238" s="148" t="s">
        <v>85</v>
      </c>
      <c r="O238" s="33" t="s">
        <v>45</v>
      </c>
      <c r="P238" s="34" t="s">
        <v>129</v>
      </c>
      <c r="Q238" s="35" t="s">
        <v>131</v>
      </c>
      <c r="R238" s="69" t="s">
        <v>51</v>
      </c>
      <c r="S238" s="15"/>
      <c r="T238" s="97" t="s">
        <v>52</v>
      </c>
      <c r="AF238" s="15"/>
      <c r="AG238" s="27"/>
      <c r="BF238" s="15"/>
    </row>
    <row r="239" spans="2:58" s="60" customFormat="1" ht="44.1" customHeight="1" thickBot="1">
      <c r="B239" s="11" t="str">
        <f>CONCATENATE($B$11+0.29)</f>
        <v>0.29</v>
      </c>
      <c r="C239" s="21">
        <f>VLOOKUP(B239,'Impact Model'!$B$15:$L$340,2,FALSE)</f>
        <v>0</v>
      </c>
      <c r="D239" s="11" t="str">
        <f>CONCATENATE($B239,"a")</f>
        <v>0.29a</v>
      </c>
      <c r="E239" s="21">
        <f>VLOOKUP(D239,'Impact Model'!$D$15:$L$340,2,FALSE)</f>
        <v>0</v>
      </c>
      <c r="F239" s="21" t="e">
        <f t="array" ref="F239">INDEX('Impact Model'!$D$15:$F$340,MATCH(D239&amp;E239,'Impact Model'!$D$15:$D$340&amp;'Impact Model'!$E$15:$E$340,0),3)</f>
        <v>#N/A</v>
      </c>
      <c r="G239" s="21" t="e">
        <f t="array" ref="G239">INDEX('Impact Model'!$D$15:$H$340,MATCH(D239&amp;E239,'Impact Model'!$D$15:$D$340&amp;'Impact Model'!$E$15:$E$340,0),5)</f>
        <v>#N/A</v>
      </c>
      <c r="H239" s="93"/>
      <c r="I239" s="94"/>
      <c r="J239" s="142" t="s">
        <v>67</v>
      </c>
      <c r="K239" s="142" t="s">
        <v>77</v>
      </c>
      <c r="L239" s="143" t="b">
        <f>IF(K239="Finite end point","Continue to Column M",IF(K239="Five yearly time-step","Switch to Offset Model_5 yearly"))</f>
        <v>0</v>
      </c>
      <c r="M239" s="70"/>
      <c r="N239" s="70"/>
      <c r="O239" s="70"/>
      <c r="P239" s="4" t="str">
        <f>IF(K239="Finite end point",IFERROR(IF(ISBLANK(O239),"",((IF($J239="Low confidence &gt;50% &lt;75%",(IF(N239&lt;$G239,N239/$G239,1)-IF(M239&lt;$G239,M239/$G239,1))*0.62,IF($J239="Confident 75-90%",(IF(N239&lt;$G239,N239/$G239,1)-IF(M239&lt;$G239,M239/$G239,1))*0.825,IF($J239="Very confident &gt;90%",(IF(N239&lt;$G239,N239/$G239,1)-IF(M239&lt;$G239,M239/$G239,1))*0.955)))))/(1+$E$11)^O239)*(I239),"Not calculated"),"Not calculated")</f>
        <v>Not calculated</v>
      </c>
      <c r="Q239" s="4" t="e">
        <f t="array" ref="Q239">INDEX('Impact Model'!$D$15:$L$340,MATCH(D239&amp;E239,'Impact Model'!$D$15:$D$340&amp;'Impact Model'!$E$15:$E$340,0),8)</f>
        <v>#N/A</v>
      </c>
      <c r="R239" s="4" t="str">
        <f>IF(K239="Choose option", "Not calculated",IF(K239="Finite end point",SUM(P239:Q239),IF(COUNTIF(#REF!,"&gt;=0")&lt;1,INDEX(#REF!,1,COUNT(#REF!)),INDEX(#REF!,1,MATCH(TRUE,INDEX(#REF!&gt;=0,1,0),)))))</f>
        <v>Not calculated</v>
      </c>
      <c r="S239" s="16"/>
      <c r="T239" s="4" t="str">
        <f>IF(R239="Not calculated","Not calculated",SUM(R239:R243)/ROUND(COUNTIF(R239:R243,"&gt;0")+COUNTIF(R239:R243,"&lt;0"),0))</f>
        <v>Not calculated</v>
      </c>
      <c r="U239" s="113"/>
      <c r="AF239" s="32"/>
      <c r="AG239" s="27"/>
      <c r="BF239" s="32"/>
    </row>
    <row r="240" spans="2:58" ht="44.1" customHeight="1" thickBot="1">
      <c r="B240" s="17"/>
      <c r="C240" s="17"/>
      <c r="D240" s="11" t="str">
        <f>CONCATENATE($B239,"b")</f>
        <v>0.29b</v>
      </c>
      <c r="E240" s="21">
        <f>VLOOKUP(D240,'Impact Model'!$D$15:$L$340,2,FALSE)</f>
        <v>0</v>
      </c>
      <c r="F240" s="21" t="e">
        <f t="array" ref="F240">INDEX('Impact Model'!$D$15:$F$340,MATCH(D240&amp;E240,'Impact Model'!$D$15:$D$340&amp;'Impact Model'!$E$15:$E$340,0),3)</f>
        <v>#N/A</v>
      </c>
      <c r="G240" s="21" t="e">
        <f t="array" ref="G240">INDEX('Impact Model'!$D$15:$H$340,MATCH(D240&amp;E240,'Impact Model'!$D$15:$D$340&amp;'Impact Model'!$E$15:$E$340,0),5)</f>
        <v>#N/A</v>
      </c>
      <c r="H240" s="93"/>
      <c r="I240" s="94"/>
      <c r="J240" s="142" t="s">
        <v>67</v>
      </c>
      <c r="K240" s="142" t="s">
        <v>77</v>
      </c>
      <c r="L240" s="143" t="b">
        <f>IF(K240="Finite end point","Continue to Column M",IF(K240="Five yearly time-step","Switch to Offset Model_5 yearly"))</f>
        <v>0</v>
      </c>
      <c r="M240" s="70"/>
      <c r="N240" s="70"/>
      <c r="O240" s="70"/>
      <c r="P240" s="4" t="str">
        <f t="shared" ref="P240:P243" si="28">IF(K240="Finite end point",IFERROR(IF(ISBLANK(O240),"",((IF($J240="Low confidence &gt;50% &lt;75%",(IF(N240&lt;$G240,N240/$G240,1)-IF(M240&lt;$G240,M240/$G240,1))*0.62,IF($J240="Confident 75-90%",(IF(N240&lt;$G240,N240/$G240,1)-IF(M240&lt;$G240,M240/$G240,1))*0.825,IF($J240="Very confident &gt;90%",(IF(N240&lt;$G240,N240/$G240,1)-IF(M240&lt;$G240,M240/$G240,1))*0.955)))))/(1+$E$11)^O240)*(I240),"Not calculated"),"Not calculated")</f>
        <v>Not calculated</v>
      </c>
      <c r="Q240" s="4" t="e">
        <f t="array" ref="Q240">INDEX('Impact Model'!$D$15:$L$340,MATCH(D240&amp;E240,'Impact Model'!$D$15:$D$340&amp;'Impact Model'!$E$15:$E$340,0),8)</f>
        <v>#N/A</v>
      </c>
      <c r="R240" s="4" t="str">
        <f>IF(K240="Choose option", "Not calculated",IF(K240="Finite end point",SUM(P240:Q240),IF(COUNTIF(#REF!,"&gt;=0")&lt;1,INDEX(#REF!,1,COUNT(#REF!)),INDEX(#REF!,1,MATCH(TRUE,INDEX(#REF!&gt;=0,1,0),)))))</f>
        <v>Not calculated</v>
      </c>
      <c r="S240" s="18"/>
      <c r="T240" s="3"/>
      <c r="AF240" s="13"/>
      <c r="AG240"/>
      <c r="BF240" s="13"/>
    </row>
    <row r="241" spans="2:58" ht="44.1" customHeight="1" thickBot="1">
      <c r="B241" s="19"/>
      <c r="C241" s="19"/>
      <c r="D241" s="11" t="str">
        <f>CONCATENATE($B239,"c")</f>
        <v>0.29c</v>
      </c>
      <c r="E241" s="21">
        <f>VLOOKUP(D241,'Impact Model'!$D$15:$L$340,2,FALSE)</f>
        <v>0</v>
      </c>
      <c r="F241" s="21" t="e">
        <f t="array" ref="F241">INDEX('Impact Model'!$D$15:$F$340,MATCH(D241&amp;E241,'Impact Model'!$D$15:$D$340&amp;'Impact Model'!$E$15:$E$340,0),3)</f>
        <v>#N/A</v>
      </c>
      <c r="G241" s="21" t="e">
        <f t="array" ref="G241">INDEX('Impact Model'!$D$15:$H$340,MATCH(D241&amp;E241,'Impact Model'!$D$15:$D$340&amp;'Impact Model'!$E$15:$E$340,0),5)</f>
        <v>#N/A</v>
      </c>
      <c r="H241" s="93"/>
      <c r="I241" s="94"/>
      <c r="J241" s="142" t="s">
        <v>67</v>
      </c>
      <c r="K241" s="142" t="s">
        <v>77</v>
      </c>
      <c r="L241" s="143" t="b">
        <f>IF(K241="Finite end point","Continue to Column M",IF(K241="Five yearly time-step","Switch to Offset Model_5 yearly"))</f>
        <v>0</v>
      </c>
      <c r="M241" s="70"/>
      <c r="N241" s="70"/>
      <c r="O241" s="70"/>
      <c r="P241" s="4" t="str">
        <f t="shared" si="28"/>
        <v>Not calculated</v>
      </c>
      <c r="Q241" s="4" t="e">
        <f t="array" ref="Q241">INDEX('Impact Model'!$D$15:$L$340,MATCH(D241&amp;E241,'Impact Model'!$D$15:$D$340&amp;'Impact Model'!$E$15:$E$340,0),8)</f>
        <v>#N/A</v>
      </c>
      <c r="R241" s="4" t="str">
        <f>IF(K241="Choose option", "Not calculated",IF(K241="Finite end point",SUM(P241:Q241),IF(COUNTIF(#REF!,"&gt;=0")&lt;1,INDEX(#REF!,1,COUNT(#REF!)),INDEX(#REF!,1,MATCH(TRUE,INDEX(#REF!&gt;=0,1,0),)))))</f>
        <v>Not calculated</v>
      </c>
      <c r="S241" s="18"/>
      <c r="T241" s="121"/>
      <c r="AF241" s="13"/>
      <c r="AG241"/>
      <c r="BF241" s="13"/>
    </row>
    <row r="242" spans="2:58" ht="44.1" customHeight="1" thickBot="1">
      <c r="B242" s="19"/>
      <c r="C242" s="19"/>
      <c r="D242" s="11" t="str">
        <f>CONCATENATE($B239,"d")</f>
        <v>0.29d</v>
      </c>
      <c r="E242" s="21">
        <f>VLOOKUP(D242,'Impact Model'!$D$15:$L$340,2,FALSE)</f>
        <v>0</v>
      </c>
      <c r="F242" s="21" t="e">
        <f t="array" ref="F242">INDEX('Impact Model'!$D$15:$F$340,MATCH(D242&amp;E242,'Impact Model'!$D$15:$D$340&amp;'Impact Model'!$E$15:$E$340,0),3)</f>
        <v>#N/A</v>
      </c>
      <c r="G242" s="21" t="e">
        <f t="array" ref="G242">INDEX('Impact Model'!$D$15:$H$340,MATCH(D242&amp;E242,'Impact Model'!$D$15:$D$340&amp;'Impact Model'!$E$15:$E$340,0),5)</f>
        <v>#N/A</v>
      </c>
      <c r="H242" s="93"/>
      <c r="I242" s="94"/>
      <c r="J242" s="142" t="s">
        <v>67</v>
      </c>
      <c r="K242" s="142" t="s">
        <v>77</v>
      </c>
      <c r="L242" s="143" t="b">
        <f>IF(K242="Finite end point","Continue to Column M",IF(K242="Five yearly time-step","Switch to Offset Model_5 yearly"))</f>
        <v>0</v>
      </c>
      <c r="M242" s="70"/>
      <c r="N242" s="70"/>
      <c r="O242" s="70"/>
      <c r="P242" s="4" t="str">
        <f t="shared" si="28"/>
        <v>Not calculated</v>
      </c>
      <c r="Q242" s="4" t="e">
        <f t="array" ref="Q242">INDEX('Impact Model'!$D$15:$L$340,MATCH(D242&amp;E242,'Impact Model'!$D$15:$D$340&amp;'Impact Model'!$E$15:$E$340,0),8)</f>
        <v>#N/A</v>
      </c>
      <c r="R242" s="4" t="str">
        <f>IF(K242="Choose option", "Not calculated",IF(K242="Finite end point",SUM(P242:Q242),IF(COUNTIF(#REF!,"&gt;=0")&lt;1,INDEX(#REF!,1,COUNT(#REF!)),INDEX(#REF!,1,MATCH(TRUE,INDEX(#REF!&gt;=0,1,0),)))))</f>
        <v>Not calculated</v>
      </c>
      <c r="S242" s="18"/>
      <c r="T242" s="3"/>
      <c r="AF242" s="13"/>
      <c r="AG242"/>
      <c r="BF242" s="13"/>
    </row>
    <row r="243" spans="2:58" ht="44.1" customHeight="1" thickBot="1">
      <c r="B243" s="19"/>
      <c r="C243" s="19"/>
      <c r="D243" s="11" t="str">
        <f>CONCATENATE($B239,"e")</f>
        <v>0.29e</v>
      </c>
      <c r="E243" s="21">
        <f>VLOOKUP(D243,'Impact Model'!$D$15:$L$340,2,FALSE)</f>
        <v>0</v>
      </c>
      <c r="F243" s="21" t="e">
        <f t="array" ref="F243">INDEX('Impact Model'!$D$15:$F$340,MATCH(D243&amp;E243,'Impact Model'!$D$15:$D$340&amp;'Impact Model'!$E$15:$E$340,0),3)</f>
        <v>#N/A</v>
      </c>
      <c r="G243" s="21" t="e">
        <f t="array" ref="G243">INDEX('Impact Model'!$D$15:$H$340,MATCH(D243&amp;E243,'Impact Model'!$D$15:$D$340&amp;'Impact Model'!$E$15:$E$340,0),5)</f>
        <v>#N/A</v>
      </c>
      <c r="H243" s="93"/>
      <c r="I243" s="94"/>
      <c r="J243" s="142" t="s">
        <v>67</v>
      </c>
      <c r="K243" s="142" t="s">
        <v>77</v>
      </c>
      <c r="L243" s="143" t="b">
        <f>IF(K243="Finite end point","Continue to Column M",IF(K243="Five yearly time-step","Switch to Offset Model_5 yearly"))</f>
        <v>0</v>
      </c>
      <c r="M243" s="70"/>
      <c r="N243" s="70"/>
      <c r="O243" s="70"/>
      <c r="P243" s="4" t="str">
        <f t="shared" si="28"/>
        <v>Not calculated</v>
      </c>
      <c r="Q243" s="4" t="e">
        <f t="array" ref="Q243">INDEX('Impact Model'!$D$15:$L$340,MATCH(D243&amp;E243,'Impact Model'!$D$15:$D$340&amp;'Impact Model'!$E$15:$E$340,0),8)</f>
        <v>#N/A</v>
      </c>
      <c r="R243" s="4" t="str">
        <f>IF(K243="Choose option", "Not calculated",IF(K243="Finite end point",SUM(P243:Q243),IF(COUNTIF(#REF!,"&gt;=0")&lt;1,INDEX(#REF!,1,COUNT(#REF!)),INDEX(#REF!,1,MATCH(TRUE,INDEX(#REF!&gt;=0,1,0),)))))</f>
        <v>Not calculated</v>
      </c>
      <c r="S243" s="18"/>
      <c r="T243" s="3"/>
      <c r="AF243" s="13"/>
      <c r="AG243"/>
      <c r="BF243" s="13"/>
    </row>
    <row r="244" spans="2:58" ht="15.95" customHeight="1" thickBot="1"/>
    <row r="245" spans="2:58" s="60" customFormat="1" ht="108" customHeight="1">
      <c r="B245" s="12"/>
      <c r="C245" s="184" t="s">
        <v>47</v>
      </c>
      <c r="D245" s="185"/>
      <c r="E245" s="185"/>
      <c r="F245" s="185"/>
      <c r="G245" s="186"/>
      <c r="H245" s="184" t="s">
        <v>62</v>
      </c>
      <c r="I245" s="185"/>
      <c r="J245" s="186"/>
      <c r="K245" s="187" t="s">
        <v>44</v>
      </c>
      <c r="L245" s="188"/>
      <c r="M245" s="184" t="s">
        <v>78</v>
      </c>
      <c r="N245" s="185"/>
      <c r="O245" s="185"/>
      <c r="P245" s="185"/>
      <c r="Q245" s="185"/>
      <c r="R245" s="186"/>
      <c r="T245" s="154" t="s">
        <v>50</v>
      </c>
      <c r="AG245" s="27"/>
      <c r="BF245" s="68"/>
    </row>
    <row r="246" spans="2:58" s="60" customFormat="1" ht="62.1" customHeight="1" thickBot="1">
      <c r="C246" s="147" t="s">
        <v>4</v>
      </c>
      <c r="D246" s="191" t="s">
        <v>5</v>
      </c>
      <c r="E246" s="192"/>
      <c r="F246" s="34" t="s">
        <v>27</v>
      </c>
      <c r="G246" s="69" t="s">
        <v>33</v>
      </c>
      <c r="H246" s="33" t="s">
        <v>59</v>
      </c>
      <c r="I246" s="34" t="s">
        <v>20</v>
      </c>
      <c r="J246" s="22" t="s">
        <v>25</v>
      </c>
      <c r="K246" s="189"/>
      <c r="L246" s="190"/>
      <c r="M246" s="148" t="s">
        <v>84</v>
      </c>
      <c r="N246" s="148" t="s">
        <v>85</v>
      </c>
      <c r="O246" s="33" t="s">
        <v>45</v>
      </c>
      <c r="P246" s="34" t="s">
        <v>129</v>
      </c>
      <c r="Q246" s="35" t="s">
        <v>131</v>
      </c>
      <c r="R246" s="69" t="s">
        <v>51</v>
      </c>
      <c r="S246" s="15"/>
      <c r="T246" s="97" t="s">
        <v>52</v>
      </c>
      <c r="AF246" s="15"/>
      <c r="AG246" s="27"/>
      <c r="BF246" s="15"/>
    </row>
    <row r="247" spans="2:58" s="60" customFormat="1" ht="44.1" customHeight="1" thickBot="1">
      <c r="B247" s="11" t="str">
        <f>$B$11&amp;TEXT("0.30",".00")</f>
        <v>0.30</v>
      </c>
      <c r="C247" s="21" t="e">
        <f>VLOOKUP(B247,'Impact Model'!$B$15:$L$340,2,FALSE)</f>
        <v>#N/A</v>
      </c>
      <c r="D247" s="11" t="str">
        <f>CONCATENATE($B247,"a")</f>
        <v>0.30a</v>
      </c>
      <c r="E247" s="21" t="e">
        <f>VLOOKUP(D247,'Impact Model'!$D$15:$L$340,2,FALSE)</f>
        <v>#N/A</v>
      </c>
      <c r="F247" s="21" t="e">
        <f t="array" ref="F247">INDEX('Impact Model'!$D$15:$F$340,MATCH(D247&amp;E247,'Impact Model'!$D$15:$D$340&amp;'Impact Model'!$E$15:$E$340,0),3)</f>
        <v>#N/A</v>
      </c>
      <c r="G247" s="21" t="e">
        <f t="array" ref="G247">INDEX('Impact Model'!$D$15:$H$340,MATCH(D247&amp;E247,'Impact Model'!$D$15:$D$340&amp;'Impact Model'!$E$15:$E$340,0),5)</f>
        <v>#N/A</v>
      </c>
      <c r="H247" s="93"/>
      <c r="I247" s="94"/>
      <c r="J247" s="142" t="s">
        <v>67</v>
      </c>
      <c r="K247" s="142" t="s">
        <v>77</v>
      </c>
      <c r="L247" s="143" t="b">
        <f>IF(K247="Finite end point","Continue to Column M",IF(K247="Five yearly time-step","Switch to Offset Model_5 yearly"))</f>
        <v>0</v>
      </c>
      <c r="M247" s="70"/>
      <c r="N247" s="70"/>
      <c r="O247" s="70"/>
      <c r="P247" s="4" t="str">
        <f>IF(K247="Finite end point",IFERROR(IF(ISBLANK(O247),"",((IF($J247="Low confidence &gt;50% &lt;75%",(IF(N247&lt;$G247,N247/$G247,1)-IF(M247&lt;$G247,M247/$G247,1))*0.62,IF($J247="Confident 75-90%",(IF(N247&lt;$G247,N247/$G247,1)-IF(M247&lt;$G247,M247/$G247,1))*0.825,IF($J247="Very confident &gt;90%",(IF(N247&lt;$G247,N247/$G247,1)-IF(M247&lt;$G247,M247/$G247,1))*0.955)))))/(1+$E$11)^O247)*(I247),"Not calculated"),"Not calculated")</f>
        <v>Not calculated</v>
      </c>
      <c r="Q247" s="4" t="e">
        <f t="array" ref="Q247">INDEX('Impact Model'!$D$15:$L$340,MATCH(D247&amp;E247,'Impact Model'!$D$15:$D$340&amp;'Impact Model'!$E$15:$E$340,0),8)</f>
        <v>#N/A</v>
      </c>
      <c r="R247" s="4" t="str">
        <f>IF(K247="Choose option", "Not calculated",IF(K247="Finite end point",SUM(P247:Q247),IF(COUNTIF(#REF!,"&gt;=0")&lt;1,INDEX(#REF!,1,COUNT(#REF!)),INDEX(#REF!,1,MATCH(TRUE,INDEX(#REF!&gt;=0,1,0),)))))</f>
        <v>Not calculated</v>
      </c>
      <c r="S247" s="16"/>
      <c r="T247" s="4" t="str">
        <f>IF(R247="Not calculated","Not calculated",SUM(R247:R251)/ROUND(COUNTIF(R247:R251,"&gt;0")+COUNTIF(R247:R251,"&lt;0"),0))</f>
        <v>Not calculated</v>
      </c>
      <c r="U247" s="113"/>
      <c r="AF247" s="32"/>
      <c r="AG247" s="27"/>
      <c r="BF247" s="32"/>
    </row>
    <row r="248" spans="2:58" ht="44.1" customHeight="1" thickBot="1">
      <c r="B248" s="17"/>
      <c r="C248" s="17"/>
      <c r="D248" s="11" t="str">
        <f>CONCATENATE($B247,"b")</f>
        <v>0.30b</v>
      </c>
      <c r="E248" s="21" t="e">
        <f>VLOOKUP(D248,'Impact Model'!$D$15:$L$340,2,FALSE)</f>
        <v>#N/A</v>
      </c>
      <c r="F248" s="21" t="e">
        <f t="array" ref="F248">INDEX('Impact Model'!$D$15:$F$340,MATCH(D248&amp;E248,'Impact Model'!$D$15:$D$340&amp;'Impact Model'!$E$15:$E$340,0),3)</f>
        <v>#N/A</v>
      </c>
      <c r="G248" s="21" t="e">
        <f t="array" ref="G248">INDEX('Impact Model'!$D$15:$H$340,MATCH(D248&amp;E248,'Impact Model'!$D$15:$D$340&amp;'Impact Model'!$E$15:$E$340,0),5)</f>
        <v>#N/A</v>
      </c>
      <c r="H248" s="93"/>
      <c r="I248" s="94"/>
      <c r="J248" s="142" t="s">
        <v>67</v>
      </c>
      <c r="K248" s="142" t="s">
        <v>77</v>
      </c>
      <c r="L248" s="143" t="b">
        <f>IF(K248="Finite end point","Continue to Column M",IF(K248="Five yearly time-step","Switch to Offset Model_5 yearly"))</f>
        <v>0</v>
      </c>
      <c r="M248" s="70"/>
      <c r="N248" s="70"/>
      <c r="O248" s="70"/>
      <c r="P248" s="4" t="str">
        <f t="shared" ref="P248:P251" si="29">IF(K248="Finite end point",IFERROR(IF(ISBLANK(O248),"",((IF($J248="Low confidence &gt;50% &lt;75%",(IF(N248&lt;$G248,N248/$G248,1)-IF(M248&lt;$G248,M248/$G248,1))*0.62,IF($J248="Confident 75-90%",(IF(N248&lt;$G248,N248/$G248,1)-IF(M248&lt;$G248,M248/$G248,1))*0.825,IF($J248="Very confident &gt;90%",(IF(N248&lt;$G248,N248/$G248,1)-IF(M248&lt;$G248,M248/$G248,1))*0.955)))))/(1+$E$11)^O248)*(I248),"Not calculated"),"Not calculated")</f>
        <v>Not calculated</v>
      </c>
      <c r="Q248" s="4" t="e">
        <f t="array" ref="Q248">INDEX('Impact Model'!$D$15:$L$340,MATCH(D248&amp;E248,'Impact Model'!$D$15:$D$340&amp;'Impact Model'!$E$15:$E$340,0),8)</f>
        <v>#N/A</v>
      </c>
      <c r="R248" s="4" t="str">
        <f>IF(K248="Choose option", "Not calculated",IF(K248="Finite end point",SUM(P248:Q248),IF(COUNTIF(#REF!,"&gt;=0")&lt;1,INDEX(#REF!,1,COUNT(#REF!)),INDEX(#REF!,1,MATCH(TRUE,INDEX(#REF!&gt;=0,1,0),)))))</f>
        <v>Not calculated</v>
      </c>
      <c r="S248" s="18"/>
      <c r="T248" s="3"/>
      <c r="AF248" s="13"/>
      <c r="AG248"/>
      <c r="BF248" s="13"/>
    </row>
    <row r="249" spans="2:58" ht="44.1" customHeight="1" thickBot="1">
      <c r="B249" s="19"/>
      <c r="C249" s="19"/>
      <c r="D249" s="11" t="str">
        <f>CONCATENATE($B247,"c")</f>
        <v>0.30c</v>
      </c>
      <c r="E249" s="21" t="e">
        <f>VLOOKUP(D249,'Impact Model'!$D$15:$L$340,2,FALSE)</f>
        <v>#N/A</v>
      </c>
      <c r="F249" s="21" t="e">
        <f t="array" ref="F249">INDEX('Impact Model'!$D$15:$F$340,MATCH(D249&amp;E249,'Impact Model'!$D$15:$D$340&amp;'Impact Model'!$E$15:$E$340,0),3)</f>
        <v>#N/A</v>
      </c>
      <c r="G249" s="21" t="e">
        <f t="array" ref="G249">INDEX('Impact Model'!$D$15:$H$340,MATCH(D249&amp;E249,'Impact Model'!$D$15:$D$340&amp;'Impact Model'!$E$15:$E$340,0),5)</f>
        <v>#N/A</v>
      </c>
      <c r="H249" s="93"/>
      <c r="I249" s="94"/>
      <c r="J249" s="142" t="s">
        <v>67</v>
      </c>
      <c r="K249" s="142" t="s">
        <v>77</v>
      </c>
      <c r="L249" s="143" t="b">
        <f>IF(K249="Finite end point","Continue to Column M",IF(K249="Five yearly time-step","Switch to Offset Model_5 yearly"))</f>
        <v>0</v>
      </c>
      <c r="M249" s="70"/>
      <c r="N249" s="70"/>
      <c r="O249" s="70"/>
      <c r="P249" s="4" t="str">
        <f t="shared" si="29"/>
        <v>Not calculated</v>
      </c>
      <c r="Q249" s="4" t="e">
        <f t="array" ref="Q249">INDEX('Impact Model'!$D$15:$L$340,MATCH(D249&amp;E249,'Impact Model'!$D$15:$D$340&amp;'Impact Model'!$E$15:$E$340,0),8)</f>
        <v>#N/A</v>
      </c>
      <c r="R249" s="4" t="str">
        <f>IF(K249="Choose option", "Not calculated",IF(K249="Finite end point",SUM(P249:Q249),IF(COUNTIF(#REF!,"&gt;=0")&lt;1,INDEX(#REF!,1,COUNT(#REF!)),INDEX(#REF!,1,MATCH(TRUE,INDEX(#REF!&gt;=0,1,0),)))))</f>
        <v>Not calculated</v>
      </c>
      <c r="S249" s="18"/>
      <c r="T249" s="121"/>
      <c r="AF249" s="13"/>
      <c r="AG249"/>
      <c r="BF249" s="13"/>
    </row>
    <row r="250" spans="2:58" ht="44.1" customHeight="1" thickBot="1">
      <c r="B250" s="19"/>
      <c r="C250" s="19"/>
      <c r="D250" s="11" t="str">
        <f>CONCATENATE($B247,"d")</f>
        <v>0.30d</v>
      </c>
      <c r="E250" s="21" t="e">
        <f>VLOOKUP(D250,'Impact Model'!$D$15:$L$340,2,FALSE)</f>
        <v>#N/A</v>
      </c>
      <c r="F250" s="21" t="e">
        <f t="array" ref="F250">INDEX('Impact Model'!$D$15:$F$340,MATCH(D250&amp;E250,'Impact Model'!$D$15:$D$340&amp;'Impact Model'!$E$15:$E$340,0),3)</f>
        <v>#N/A</v>
      </c>
      <c r="G250" s="21" t="e">
        <f t="array" ref="G250">INDEX('Impact Model'!$D$15:$H$340,MATCH(D250&amp;E250,'Impact Model'!$D$15:$D$340&amp;'Impact Model'!$E$15:$E$340,0),5)</f>
        <v>#N/A</v>
      </c>
      <c r="H250" s="93"/>
      <c r="I250" s="94"/>
      <c r="J250" s="142" t="s">
        <v>67</v>
      </c>
      <c r="K250" s="142" t="s">
        <v>77</v>
      </c>
      <c r="L250" s="143" t="b">
        <f>IF(K250="Finite end point","Continue to Column M",IF(K250="Five yearly time-step","Switch to Offset Model_5 yearly"))</f>
        <v>0</v>
      </c>
      <c r="M250" s="70"/>
      <c r="N250" s="70"/>
      <c r="O250" s="70"/>
      <c r="P250" s="4" t="str">
        <f t="shared" si="29"/>
        <v>Not calculated</v>
      </c>
      <c r="Q250" s="4" t="e">
        <f t="array" ref="Q250">INDEX('Impact Model'!$D$15:$L$340,MATCH(D250&amp;E250,'Impact Model'!$D$15:$D$340&amp;'Impact Model'!$E$15:$E$340,0),8)</f>
        <v>#N/A</v>
      </c>
      <c r="R250" s="4" t="str">
        <f>IF(K250="Choose option", "Not calculated",IF(K250="Finite end point",SUM(P250:Q250),IF(COUNTIF(#REF!,"&gt;=0")&lt;1,INDEX(#REF!,1,COUNT(#REF!)),INDEX(#REF!,1,MATCH(TRUE,INDEX(#REF!&gt;=0,1,0),)))))</f>
        <v>Not calculated</v>
      </c>
      <c r="S250" s="18"/>
      <c r="T250" s="3"/>
      <c r="AF250" s="13"/>
      <c r="AG250"/>
      <c r="BF250" s="13"/>
    </row>
    <row r="251" spans="2:58" ht="44.1" customHeight="1" thickBot="1">
      <c r="B251" s="19"/>
      <c r="C251" s="19"/>
      <c r="D251" s="11" t="str">
        <f>CONCATENATE($B247,"e")</f>
        <v>0.30e</v>
      </c>
      <c r="E251" s="21" t="e">
        <f>VLOOKUP(D251,'Impact Model'!$D$15:$L$340,2,FALSE)</f>
        <v>#N/A</v>
      </c>
      <c r="F251" s="21" t="e">
        <f t="array" ref="F251">INDEX('Impact Model'!$D$15:$F$340,MATCH(D251&amp;E251,'Impact Model'!$D$15:$D$340&amp;'Impact Model'!$E$15:$E$340,0),3)</f>
        <v>#N/A</v>
      </c>
      <c r="G251" s="21" t="e">
        <f t="array" ref="G251">INDEX('Impact Model'!$D$15:$H$340,MATCH(D251&amp;E251,'Impact Model'!$D$15:$D$340&amp;'Impact Model'!$E$15:$E$340,0),5)</f>
        <v>#N/A</v>
      </c>
      <c r="H251" s="93"/>
      <c r="I251" s="94"/>
      <c r="J251" s="142" t="s">
        <v>67</v>
      </c>
      <c r="K251" s="142" t="s">
        <v>77</v>
      </c>
      <c r="L251" s="143" t="b">
        <f>IF(K251="Finite end point","Continue to Column M",IF(K251="Five yearly time-step","Switch to Offset Model_5 yearly"))</f>
        <v>0</v>
      </c>
      <c r="M251" s="70"/>
      <c r="N251" s="70"/>
      <c r="O251" s="70"/>
      <c r="P251" s="4" t="str">
        <f t="shared" si="29"/>
        <v>Not calculated</v>
      </c>
      <c r="Q251" s="4" t="e">
        <f t="array" ref="Q251">INDEX('Impact Model'!$D$15:$L$340,MATCH(D251&amp;E251,'Impact Model'!$D$15:$D$340&amp;'Impact Model'!$E$15:$E$340,0),8)</f>
        <v>#N/A</v>
      </c>
      <c r="R251" s="4" t="str">
        <f>IF(K251="Choose option", "Not calculated",IF(K251="Finite end point",SUM(P251:Q251),IF(COUNTIF(#REF!,"&gt;=0")&lt;1,INDEX(#REF!,1,COUNT(#REF!)),INDEX(#REF!,1,MATCH(TRUE,INDEX(#REF!&gt;=0,1,0),)))))</f>
        <v>Not calculated</v>
      </c>
      <c r="S251" s="18"/>
      <c r="T251" s="3"/>
      <c r="AF251" s="13"/>
      <c r="AG251"/>
      <c r="BF251" s="13"/>
    </row>
    <row r="252" spans="2:58" ht="15.95" customHeight="1"/>
  </sheetData>
  <sheetProtection sheet="1" objects="1" scenarios="1"/>
  <mergeCells count="152">
    <mergeCell ref="M11:Q11"/>
    <mergeCell ref="C13:G13"/>
    <mergeCell ref="D14:E14"/>
    <mergeCell ref="B2:E4"/>
    <mergeCell ref="K13:L14"/>
    <mergeCell ref="H13:J13"/>
    <mergeCell ref="M13:R13"/>
    <mergeCell ref="C21:G21"/>
    <mergeCell ref="H21:J21"/>
    <mergeCell ref="K21:L22"/>
    <mergeCell ref="M21:R21"/>
    <mergeCell ref="D22:E22"/>
    <mergeCell ref="K29:L30"/>
    <mergeCell ref="M29:R29"/>
    <mergeCell ref="D30:E30"/>
    <mergeCell ref="C53:G53"/>
    <mergeCell ref="H53:J53"/>
    <mergeCell ref="K53:L54"/>
    <mergeCell ref="M53:R53"/>
    <mergeCell ref="D54:E54"/>
    <mergeCell ref="C45:G45"/>
    <mergeCell ref="H45:J45"/>
    <mergeCell ref="K45:L46"/>
    <mergeCell ref="M45:R45"/>
    <mergeCell ref="D46:E46"/>
    <mergeCell ref="C37:G37"/>
    <mergeCell ref="H37:J37"/>
    <mergeCell ref="K37:L38"/>
    <mergeCell ref="M37:R37"/>
    <mergeCell ref="D38:E38"/>
    <mergeCell ref="C29:G29"/>
    <mergeCell ref="H29:J29"/>
    <mergeCell ref="C69:G69"/>
    <mergeCell ref="H69:J69"/>
    <mergeCell ref="K69:L70"/>
    <mergeCell ref="M69:R69"/>
    <mergeCell ref="D70:E70"/>
    <mergeCell ref="C61:G61"/>
    <mergeCell ref="H61:J61"/>
    <mergeCell ref="K61:L62"/>
    <mergeCell ref="M61:R61"/>
    <mergeCell ref="D62:E62"/>
    <mergeCell ref="C85:G85"/>
    <mergeCell ref="H85:J85"/>
    <mergeCell ref="K85:L86"/>
    <mergeCell ref="M85:R85"/>
    <mergeCell ref="D86:E86"/>
    <mergeCell ref="C77:G77"/>
    <mergeCell ref="H77:J77"/>
    <mergeCell ref="K77:L78"/>
    <mergeCell ref="M77:R77"/>
    <mergeCell ref="D78:E78"/>
    <mergeCell ref="C101:G101"/>
    <mergeCell ref="H101:J101"/>
    <mergeCell ref="K101:L102"/>
    <mergeCell ref="M101:R101"/>
    <mergeCell ref="D102:E102"/>
    <mergeCell ref="C93:G93"/>
    <mergeCell ref="H93:J93"/>
    <mergeCell ref="K93:L94"/>
    <mergeCell ref="M93:R93"/>
    <mergeCell ref="D94:E94"/>
    <mergeCell ref="C117:G117"/>
    <mergeCell ref="H117:J117"/>
    <mergeCell ref="K117:L118"/>
    <mergeCell ref="M117:R117"/>
    <mergeCell ref="D118:E118"/>
    <mergeCell ref="C109:G109"/>
    <mergeCell ref="H109:J109"/>
    <mergeCell ref="K109:L110"/>
    <mergeCell ref="M109:R109"/>
    <mergeCell ref="D110:E110"/>
    <mergeCell ref="C133:G133"/>
    <mergeCell ref="H133:J133"/>
    <mergeCell ref="K133:L134"/>
    <mergeCell ref="M133:R133"/>
    <mergeCell ref="D134:E134"/>
    <mergeCell ref="C125:G125"/>
    <mergeCell ref="H125:J125"/>
    <mergeCell ref="K125:L126"/>
    <mergeCell ref="M125:R125"/>
    <mergeCell ref="D126:E126"/>
    <mergeCell ref="C149:G149"/>
    <mergeCell ref="H149:J149"/>
    <mergeCell ref="K149:L150"/>
    <mergeCell ref="M149:R149"/>
    <mergeCell ref="D150:E150"/>
    <mergeCell ref="C141:G141"/>
    <mergeCell ref="H141:J141"/>
    <mergeCell ref="K141:L142"/>
    <mergeCell ref="M141:R141"/>
    <mergeCell ref="D142:E142"/>
    <mergeCell ref="C165:G165"/>
    <mergeCell ref="H165:J165"/>
    <mergeCell ref="K165:L166"/>
    <mergeCell ref="M165:R165"/>
    <mergeCell ref="D166:E166"/>
    <mergeCell ref="C157:G157"/>
    <mergeCell ref="H157:J157"/>
    <mergeCell ref="K157:L158"/>
    <mergeCell ref="M157:R157"/>
    <mergeCell ref="D158:E158"/>
    <mergeCell ref="C181:G181"/>
    <mergeCell ref="H181:J181"/>
    <mergeCell ref="K181:L182"/>
    <mergeCell ref="M181:R181"/>
    <mergeCell ref="D182:E182"/>
    <mergeCell ref="C173:G173"/>
    <mergeCell ref="H173:J173"/>
    <mergeCell ref="K173:L174"/>
    <mergeCell ref="M173:R173"/>
    <mergeCell ref="D174:E174"/>
    <mergeCell ref="C197:G197"/>
    <mergeCell ref="H197:J197"/>
    <mergeCell ref="K197:L198"/>
    <mergeCell ref="M197:R197"/>
    <mergeCell ref="D198:E198"/>
    <mergeCell ref="C189:G189"/>
    <mergeCell ref="H189:J189"/>
    <mergeCell ref="K189:L190"/>
    <mergeCell ref="M189:R189"/>
    <mergeCell ref="D190:E190"/>
    <mergeCell ref="C213:G213"/>
    <mergeCell ref="H213:J213"/>
    <mergeCell ref="K213:L214"/>
    <mergeCell ref="M213:R213"/>
    <mergeCell ref="D214:E214"/>
    <mergeCell ref="C205:G205"/>
    <mergeCell ref="H205:J205"/>
    <mergeCell ref="K205:L206"/>
    <mergeCell ref="M205:R205"/>
    <mergeCell ref="D206:E206"/>
    <mergeCell ref="C229:G229"/>
    <mergeCell ref="H229:J229"/>
    <mergeCell ref="K229:L230"/>
    <mergeCell ref="M229:R229"/>
    <mergeCell ref="D230:E230"/>
    <mergeCell ref="C221:G221"/>
    <mergeCell ref="H221:J221"/>
    <mergeCell ref="K221:L222"/>
    <mergeCell ref="M221:R221"/>
    <mergeCell ref="D222:E222"/>
    <mergeCell ref="C245:G245"/>
    <mergeCell ref="H245:J245"/>
    <mergeCell ref="K245:L246"/>
    <mergeCell ref="M245:R245"/>
    <mergeCell ref="D246:E246"/>
    <mergeCell ref="C237:G237"/>
    <mergeCell ref="H237:J237"/>
    <mergeCell ref="K237:L238"/>
    <mergeCell ref="M237:R237"/>
    <mergeCell ref="D238:E238"/>
  </mergeCells>
  <conditionalFormatting sqref="D15">
    <cfRule type="cellIs" dxfId="2242" priority="23805" operator="lessThan">
      <formula>1</formula>
    </cfRule>
    <cfRule type="cellIs" dxfId="2241" priority="23806" operator="greaterThan">
      <formula>1</formula>
    </cfRule>
  </conditionalFormatting>
  <conditionalFormatting sqref="D23:D27">
    <cfRule type="cellIs" dxfId="2240" priority="4338" operator="greaterThan">
      <formula>1</formula>
    </cfRule>
  </conditionalFormatting>
  <conditionalFormatting sqref="D26:D27">
    <cfRule type="cellIs" dxfId="2238" priority="3386" operator="greaterThan">
      <formula>1</formula>
    </cfRule>
  </conditionalFormatting>
  <conditionalFormatting sqref="D31:D35">
    <cfRule type="cellIs" dxfId="2235" priority="4302" operator="greaterThan">
      <formula>1</formula>
    </cfRule>
    <cfRule type="cellIs" dxfId="2234" priority="3384" operator="greaterThan">
      <formula>1</formula>
    </cfRule>
  </conditionalFormatting>
  <conditionalFormatting sqref="D32:D33">
    <cfRule type="cellIs" dxfId="2232" priority="2402" operator="greaterThan">
      <formula>1</formula>
    </cfRule>
  </conditionalFormatting>
  <conditionalFormatting sqref="D32:D35">
    <cfRule type="cellIs" dxfId="2231" priority="2438" operator="greaterThan">
      <formula>1</formula>
    </cfRule>
  </conditionalFormatting>
  <conditionalFormatting sqref="D39:D43">
    <cfRule type="cellIs" dxfId="2228" priority="4300" operator="greaterThan">
      <formula>1</formula>
    </cfRule>
  </conditionalFormatting>
  <conditionalFormatting sqref="D40:D41">
    <cfRule type="cellIs" dxfId="2227" priority="2404" operator="greaterThan">
      <formula>1</formula>
    </cfRule>
  </conditionalFormatting>
  <conditionalFormatting sqref="D40:D43">
    <cfRule type="cellIs" dxfId="2225" priority="2427" operator="greaterThan">
      <formula>1</formula>
    </cfRule>
  </conditionalFormatting>
  <conditionalFormatting sqref="D47:D51">
    <cfRule type="cellIs" dxfId="2222" priority="2422" operator="greaterThan">
      <formula>1</formula>
    </cfRule>
  </conditionalFormatting>
  <conditionalFormatting sqref="D48:D51">
    <cfRule type="cellIs" dxfId="2221" priority="4696" operator="greaterThan">
      <formula>1</formula>
    </cfRule>
    <cfRule type="cellIs" dxfId="2220" priority="2410" operator="greaterThan">
      <formula>1</formula>
    </cfRule>
  </conditionalFormatting>
  <conditionalFormatting sqref="D55:D59">
    <cfRule type="cellIs" dxfId="2217" priority="2407" operator="greaterThan">
      <formula>1</formula>
    </cfRule>
  </conditionalFormatting>
  <conditionalFormatting sqref="D56:D59">
    <cfRule type="cellIs" dxfId="2216" priority="4688" operator="greaterThan">
      <formula>1</formula>
    </cfRule>
  </conditionalFormatting>
  <conditionalFormatting sqref="D63:D67">
    <cfRule type="cellIs" dxfId="2215" priority="2399" operator="greaterThan">
      <formula>1</formula>
    </cfRule>
  </conditionalFormatting>
  <conditionalFormatting sqref="D64:D67">
    <cfRule type="cellIs" dxfId="2213" priority="4680" operator="greaterThan">
      <formula>1</formula>
    </cfRule>
  </conditionalFormatting>
  <conditionalFormatting sqref="D71:D75">
    <cfRule type="cellIs" dxfId="2211" priority="2396" operator="greaterThan">
      <formula>1</formula>
    </cfRule>
  </conditionalFormatting>
  <conditionalFormatting sqref="D72:D75">
    <cfRule type="cellIs" dxfId="2210" priority="4672" operator="greaterThan">
      <formula>1</formula>
    </cfRule>
  </conditionalFormatting>
  <conditionalFormatting sqref="D79:D83">
    <cfRule type="cellIs" dxfId="2208" priority="2393" operator="greaterThan">
      <formula>1</formula>
    </cfRule>
  </conditionalFormatting>
  <conditionalFormatting sqref="D80:D83">
    <cfRule type="cellIs" dxfId="2207" priority="4664" operator="greaterThan">
      <formula>1</formula>
    </cfRule>
  </conditionalFormatting>
  <conditionalFormatting sqref="D87:D91">
    <cfRule type="cellIs" dxfId="2205" priority="2389" operator="greaterThan">
      <formula>1</formula>
    </cfRule>
    <cfRule type="cellIs" dxfId="2203" priority="2391" operator="greaterThan">
      <formula>1</formula>
    </cfRule>
  </conditionalFormatting>
  <conditionalFormatting sqref="D95:D99">
    <cfRule type="cellIs" dxfId="2202" priority="2387" operator="greaterThan">
      <formula>1</formula>
    </cfRule>
    <cfRule type="cellIs" dxfId="2200" priority="2385" operator="greaterThan">
      <formula>1</formula>
    </cfRule>
  </conditionalFormatting>
  <conditionalFormatting sqref="D103:D107">
    <cfRule type="cellIs" dxfId="2196" priority="2381" operator="greaterThan">
      <formula>1</formula>
    </cfRule>
    <cfRule type="cellIs" dxfId="2195" priority="2383" operator="greaterThan">
      <formula>1</formula>
    </cfRule>
  </conditionalFormatting>
  <conditionalFormatting sqref="D111:D115">
    <cfRule type="cellIs" dxfId="2193" priority="2377" operator="greaterThan">
      <formula>1</formula>
    </cfRule>
    <cfRule type="cellIs" dxfId="2191" priority="2379" operator="greaterThan">
      <formula>1</formula>
    </cfRule>
  </conditionalFormatting>
  <conditionalFormatting sqref="D119:D123">
    <cfRule type="cellIs" dxfId="2190" priority="2373" operator="greaterThan">
      <formula>1</formula>
    </cfRule>
    <cfRule type="cellIs" dxfId="2188" priority="2375" operator="greaterThan">
      <formula>1</formula>
    </cfRule>
  </conditionalFormatting>
  <conditionalFormatting sqref="D127:D131">
    <cfRule type="cellIs" dxfId="2186" priority="2369" operator="greaterThan">
      <formula>1</formula>
    </cfRule>
    <cfRule type="cellIs" dxfId="2184" priority="2371" operator="greaterThan">
      <formula>1</formula>
    </cfRule>
  </conditionalFormatting>
  <conditionalFormatting sqref="D135:D139">
    <cfRule type="cellIs" dxfId="2181" priority="2367" operator="greaterThan">
      <formula>1</formula>
    </cfRule>
    <cfRule type="cellIs" dxfId="2179" priority="2365" operator="greaterThan">
      <formula>1</formula>
    </cfRule>
  </conditionalFormatting>
  <conditionalFormatting sqref="D143:D147">
    <cfRule type="cellIs" dxfId="2178" priority="2363" operator="greaterThan">
      <formula>1</formula>
    </cfRule>
    <cfRule type="cellIs" dxfId="2176" priority="2361" operator="greaterThan">
      <formula>1</formula>
    </cfRule>
  </conditionalFormatting>
  <conditionalFormatting sqref="D151:D155">
    <cfRule type="cellIs" dxfId="2173" priority="2359" operator="greaterThan">
      <formula>1</formula>
    </cfRule>
    <cfRule type="cellIs" dxfId="2172" priority="2357" operator="greaterThan">
      <formula>1</formula>
    </cfRule>
  </conditionalFormatting>
  <conditionalFormatting sqref="D159:D163">
    <cfRule type="cellIs" dxfId="2170" priority="2355" operator="greaterThan">
      <formula>1</formula>
    </cfRule>
    <cfRule type="cellIs" dxfId="2167" priority="2353" operator="greaterThan">
      <formula>1</formula>
    </cfRule>
  </conditionalFormatting>
  <conditionalFormatting sqref="D167:D171">
    <cfRule type="cellIs" dxfId="2165" priority="2349" operator="greaterThan">
      <formula>1</formula>
    </cfRule>
    <cfRule type="cellIs" dxfId="2163" priority="2351" operator="greaterThan">
      <formula>1</formula>
    </cfRule>
  </conditionalFormatting>
  <conditionalFormatting sqref="D175:D179">
    <cfRule type="cellIs" dxfId="2160" priority="2345" operator="greaterThan">
      <formula>1</formula>
    </cfRule>
    <cfRule type="cellIs" dxfId="2159" priority="2347" operator="greaterThan">
      <formula>1</formula>
    </cfRule>
  </conditionalFormatting>
  <conditionalFormatting sqref="D183:D187">
    <cfRule type="cellIs" dxfId="2158" priority="2343" operator="greaterThan">
      <formula>1</formula>
    </cfRule>
    <cfRule type="cellIs" dxfId="2156" priority="2341" operator="greaterThan">
      <formula>1</formula>
    </cfRule>
  </conditionalFormatting>
  <conditionalFormatting sqref="D191:D195">
    <cfRule type="cellIs" dxfId="2154" priority="2339" operator="greaterThan">
      <formula>1</formula>
    </cfRule>
    <cfRule type="cellIs" dxfId="2152" priority="2337" operator="greaterThan">
      <formula>1</formula>
    </cfRule>
  </conditionalFormatting>
  <conditionalFormatting sqref="D199:D203">
    <cfRule type="cellIs" dxfId="2149" priority="2335" operator="greaterThan">
      <formula>1</formula>
    </cfRule>
    <cfRule type="cellIs" dxfId="2147" priority="2333" operator="greaterThan">
      <formula>1</formula>
    </cfRule>
  </conditionalFormatting>
  <conditionalFormatting sqref="D207:D211">
    <cfRule type="cellIs" dxfId="2146" priority="2329" operator="greaterThan">
      <formula>1</formula>
    </cfRule>
    <cfRule type="cellIs" dxfId="2143" priority="2331" operator="greaterThan">
      <formula>1</formula>
    </cfRule>
  </conditionalFormatting>
  <conditionalFormatting sqref="D215:D219">
    <cfRule type="cellIs" dxfId="2142" priority="2325" operator="greaterThan">
      <formula>1</formula>
    </cfRule>
    <cfRule type="cellIs" dxfId="2141" priority="2327" operator="greaterThan">
      <formula>1</formula>
    </cfRule>
  </conditionalFormatting>
  <conditionalFormatting sqref="D223:D227">
    <cfRule type="cellIs" dxfId="2137" priority="2321" operator="greaterThan">
      <formula>1</formula>
    </cfRule>
    <cfRule type="cellIs" dxfId="2135" priority="2323" operator="greaterThan">
      <formula>1</formula>
    </cfRule>
  </conditionalFormatting>
  <conditionalFormatting sqref="D231:D235">
    <cfRule type="cellIs" dxfId="2134" priority="2319" operator="greaterThan">
      <formula>1</formula>
    </cfRule>
    <cfRule type="cellIs" dxfId="2132" priority="2317" operator="greaterThan">
      <formula>1</formula>
    </cfRule>
  </conditionalFormatting>
  <conditionalFormatting sqref="D239:D243">
    <cfRule type="cellIs" dxfId="2129" priority="2315" operator="greaterThan">
      <formula>1</formula>
    </cfRule>
    <cfRule type="cellIs" dxfId="2127" priority="2313" operator="greaterThan">
      <formula>1</formula>
    </cfRule>
  </conditionalFormatting>
  <conditionalFormatting sqref="D247:D251">
    <cfRule type="cellIs" dxfId="2124" priority="2311" operator="greaterThan">
      <formula>1</formula>
    </cfRule>
    <cfRule type="cellIs" dxfId="2123" priority="2309" operator="greaterThan">
      <formula>1</formula>
    </cfRule>
  </conditionalFormatting>
  <conditionalFormatting sqref="J15:J19">
    <cfRule type="expression" dxfId="2089" priority="18952">
      <formula>D15="Five yearly time-step"</formula>
    </cfRule>
  </conditionalFormatting>
  <conditionalFormatting sqref="L15:L19">
    <cfRule type="containsText" dxfId="2088" priority="442" operator="containsText" text="Switch to">
      <formula>NOT(ISERROR(SEARCH("Switch to",L15)))</formula>
    </cfRule>
    <cfRule type="containsText" dxfId="2087" priority="441" operator="containsText" text="Continue to Column M">
      <formula>NOT(ISERROR(SEARCH("Continue to Column M",L15)))</formula>
    </cfRule>
    <cfRule type="containsText" dxfId="2086" priority="440" operator="containsText" text="False">
      <formula>NOT(ISERROR(SEARCH("False",L15)))</formula>
    </cfRule>
  </conditionalFormatting>
  <conditionalFormatting sqref="L23:L27">
    <cfRule type="containsText" dxfId="2085" priority="426" operator="containsText" text="Continue to Column M">
      <formula>NOT(ISERROR(SEARCH("Continue to Column M",L23)))</formula>
    </cfRule>
    <cfRule type="containsText" dxfId="2084" priority="425" operator="containsText" text="False">
      <formula>NOT(ISERROR(SEARCH("False",L23)))</formula>
    </cfRule>
    <cfRule type="containsText" dxfId="2083" priority="427" operator="containsText" text="Switch to">
      <formula>NOT(ISERROR(SEARCH("Switch to",L23)))</formula>
    </cfRule>
  </conditionalFormatting>
  <conditionalFormatting sqref="L31:L35">
    <cfRule type="containsText" dxfId="2082" priority="412" operator="containsText" text="Switch to">
      <formula>NOT(ISERROR(SEARCH("Switch to",L31)))</formula>
    </cfRule>
    <cfRule type="containsText" dxfId="2081" priority="411" operator="containsText" text="Continue to Column M">
      <formula>NOT(ISERROR(SEARCH("Continue to Column M",L31)))</formula>
    </cfRule>
    <cfRule type="containsText" dxfId="2080" priority="410" operator="containsText" text="False">
      <formula>NOT(ISERROR(SEARCH("False",L31)))</formula>
    </cfRule>
  </conditionalFormatting>
  <conditionalFormatting sqref="L39:L43">
    <cfRule type="containsText" dxfId="2079" priority="396" operator="containsText" text="Continue to Column M">
      <formula>NOT(ISERROR(SEARCH("Continue to Column M",L39)))</formula>
    </cfRule>
    <cfRule type="containsText" dxfId="2078" priority="395" operator="containsText" text="False">
      <formula>NOT(ISERROR(SEARCH("False",L39)))</formula>
    </cfRule>
    <cfRule type="containsText" dxfId="2077" priority="397" operator="containsText" text="Switch to">
      <formula>NOT(ISERROR(SEARCH("Switch to",L39)))</formula>
    </cfRule>
  </conditionalFormatting>
  <conditionalFormatting sqref="L47:L51">
    <cfRule type="containsText" dxfId="2076" priority="382" operator="containsText" text="Switch to">
      <formula>NOT(ISERROR(SEARCH("Switch to",L47)))</formula>
    </cfRule>
    <cfRule type="containsText" dxfId="2075" priority="381" operator="containsText" text="Continue to Column M">
      <formula>NOT(ISERROR(SEARCH("Continue to Column M",L47)))</formula>
    </cfRule>
    <cfRule type="containsText" dxfId="2074" priority="380" operator="containsText" text="False">
      <formula>NOT(ISERROR(SEARCH("False",L47)))</formula>
    </cfRule>
  </conditionalFormatting>
  <conditionalFormatting sqref="L55:L59">
    <cfRule type="containsText" dxfId="2073" priority="366" operator="containsText" text="Continue to Column M">
      <formula>NOT(ISERROR(SEARCH("Continue to Column M",L55)))</formula>
    </cfRule>
    <cfRule type="containsText" dxfId="2072" priority="367" operator="containsText" text="Switch to">
      <formula>NOT(ISERROR(SEARCH("Switch to",L55)))</formula>
    </cfRule>
    <cfRule type="containsText" dxfId="2071" priority="365" operator="containsText" text="False">
      <formula>NOT(ISERROR(SEARCH("False",L55)))</formula>
    </cfRule>
  </conditionalFormatting>
  <conditionalFormatting sqref="L63:L67">
    <cfRule type="containsText" dxfId="2070" priority="350" operator="containsText" text="False">
      <formula>NOT(ISERROR(SEARCH("False",L63)))</formula>
    </cfRule>
    <cfRule type="containsText" dxfId="2069" priority="351" operator="containsText" text="Continue to Column M">
      <formula>NOT(ISERROR(SEARCH("Continue to Column M",L63)))</formula>
    </cfRule>
    <cfRule type="containsText" dxfId="2068" priority="352" operator="containsText" text="Switch to">
      <formula>NOT(ISERROR(SEARCH("Switch to",L63)))</formula>
    </cfRule>
  </conditionalFormatting>
  <conditionalFormatting sqref="L71:L75">
    <cfRule type="containsText" dxfId="2067" priority="335" operator="containsText" text="False">
      <formula>NOT(ISERROR(SEARCH("False",L71)))</formula>
    </cfRule>
    <cfRule type="containsText" dxfId="2066" priority="337" operator="containsText" text="Switch to">
      <formula>NOT(ISERROR(SEARCH("Switch to",L71)))</formula>
    </cfRule>
    <cfRule type="containsText" dxfId="2065" priority="336" operator="containsText" text="Continue to Column M">
      <formula>NOT(ISERROR(SEARCH("Continue to Column M",L71)))</formula>
    </cfRule>
  </conditionalFormatting>
  <conditionalFormatting sqref="L79:L83">
    <cfRule type="containsText" dxfId="2064" priority="320" operator="containsText" text="False">
      <formula>NOT(ISERROR(SEARCH("False",L79)))</formula>
    </cfRule>
    <cfRule type="containsText" dxfId="2063" priority="322" operator="containsText" text="Switch to">
      <formula>NOT(ISERROR(SEARCH("Switch to",L79)))</formula>
    </cfRule>
    <cfRule type="containsText" dxfId="2062" priority="321" operator="containsText" text="Continue to Column M">
      <formula>NOT(ISERROR(SEARCH("Continue to Column M",L79)))</formula>
    </cfRule>
  </conditionalFormatting>
  <conditionalFormatting sqref="L87:L91">
    <cfRule type="containsText" dxfId="2061" priority="305" operator="containsText" text="False">
      <formula>NOT(ISERROR(SEARCH("False",L87)))</formula>
    </cfRule>
    <cfRule type="containsText" dxfId="2060" priority="306" operator="containsText" text="Continue to Column M">
      <formula>NOT(ISERROR(SEARCH("Continue to Column M",L87)))</formula>
    </cfRule>
    <cfRule type="containsText" dxfId="2059" priority="307" operator="containsText" text="Switch to">
      <formula>NOT(ISERROR(SEARCH("Switch to",L87)))</formula>
    </cfRule>
  </conditionalFormatting>
  <conditionalFormatting sqref="L95:L99">
    <cfRule type="containsText" dxfId="2058" priority="290" operator="containsText" text="False">
      <formula>NOT(ISERROR(SEARCH("False",L95)))</formula>
    </cfRule>
    <cfRule type="containsText" dxfId="2057" priority="291" operator="containsText" text="Continue to Column M">
      <formula>NOT(ISERROR(SEARCH("Continue to Column M",L95)))</formula>
    </cfRule>
    <cfRule type="containsText" dxfId="2056" priority="292" operator="containsText" text="Switch to">
      <formula>NOT(ISERROR(SEARCH("Switch to",L95)))</formula>
    </cfRule>
  </conditionalFormatting>
  <conditionalFormatting sqref="L103:L107">
    <cfRule type="containsText" dxfId="2055" priority="275" operator="containsText" text="False">
      <formula>NOT(ISERROR(SEARCH("False",L103)))</formula>
    </cfRule>
    <cfRule type="containsText" dxfId="2054" priority="276" operator="containsText" text="Continue to Column M">
      <formula>NOT(ISERROR(SEARCH("Continue to Column M",L103)))</formula>
    </cfRule>
    <cfRule type="containsText" dxfId="2053" priority="277" operator="containsText" text="Switch to">
      <formula>NOT(ISERROR(SEARCH("Switch to",L103)))</formula>
    </cfRule>
  </conditionalFormatting>
  <conditionalFormatting sqref="L111:L115">
    <cfRule type="containsText" dxfId="2052" priority="261" operator="containsText" text="Continue to Column M">
      <formula>NOT(ISERROR(SEARCH("Continue to Column M",L111)))</formula>
    </cfRule>
    <cfRule type="containsText" dxfId="2051" priority="262" operator="containsText" text="Switch to">
      <formula>NOT(ISERROR(SEARCH("Switch to",L111)))</formula>
    </cfRule>
    <cfRule type="containsText" dxfId="2050" priority="260" operator="containsText" text="False">
      <formula>NOT(ISERROR(SEARCH("False",L111)))</formula>
    </cfRule>
  </conditionalFormatting>
  <conditionalFormatting sqref="L119:L123">
    <cfRule type="containsText" dxfId="2049" priority="245" operator="containsText" text="False">
      <formula>NOT(ISERROR(SEARCH("False",L119)))</formula>
    </cfRule>
    <cfRule type="containsText" dxfId="2048" priority="246" operator="containsText" text="Continue to Column M">
      <formula>NOT(ISERROR(SEARCH("Continue to Column M",L119)))</formula>
    </cfRule>
    <cfRule type="containsText" dxfId="2047" priority="247" operator="containsText" text="Switch to">
      <formula>NOT(ISERROR(SEARCH("Switch to",L119)))</formula>
    </cfRule>
  </conditionalFormatting>
  <conditionalFormatting sqref="L127:L131">
    <cfRule type="containsText" dxfId="2046" priority="230" operator="containsText" text="False">
      <formula>NOT(ISERROR(SEARCH("False",L127)))</formula>
    </cfRule>
    <cfRule type="containsText" dxfId="2045" priority="231" operator="containsText" text="Continue to Column M">
      <formula>NOT(ISERROR(SEARCH("Continue to Column M",L127)))</formula>
    </cfRule>
    <cfRule type="containsText" dxfId="2044" priority="232" operator="containsText" text="Switch to">
      <formula>NOT(ISERROR(SEARCH("Switch to",L127)))</formula>
    </cfRule>
  </conditionalFormatting>
  <conditionalFormatting sqref="L135:L139">
    <cfRule type="containsText" dxfId="2043" priority="215" operator="containsText" text="False">
      <formula>NOT(ISERROR(SEARCH("False",L135)))</formula>
    </cfRule>
    <cfRule type="containsText" dxfId="2042" priority="216" operator="containsText" text="Continue to Column M">
      <formula>NOT(ISERROR(SEARCH("Continue to Column M",L135)))</formula>
    </cfRule>
    <cfRule type="containsText" dxfId="2041" priority="217" operator="containsText" text="Switch to">
      <formula>NOT(ISERROR(SEARCH("Switch to",L135)))</formula>
    </cfRule>
  </conditionalFormatting>
  <conditionalFormatting sqref="L143:L147">
    <cfRule type="containsText" dxfId="2040" priority="202" operator="containsText" text="Switch to">
      <formula>NOT(ISERROR(SEARCH("Switch to",L143)))</formula>
    </cfRule>
    <cfRule type="containsText" dxfId="2039" priority="200" operator="containsText" text="False">
      <formula>NOT(ISERROR(SEARCH("False",L143)))</formula>
    </cfRule>
    <cfRule type="containsText" dxfId="2038" priority="201" operator="containsText" text="Continue to Column M">
      <formula>NOT(ISERROR(SEARCH("Continue to Column M",L143)))</formula>
    </cfRule>
  </conditionalFormatting>
  <conditionalFormatting sqref="L151:L155">
    <cfRule type="containsText" dxfId="2037" priority="185" operator="containsText" text="False">
      <formula>NOT(ISERROR(SEARCH("False",L151)))</formula>
    </cfRule>
    <cfRule type="containsText" dxfId="2036" priority="187" operator="containsText" text="Switch to">
      <formula>NOT(ISERROR(SEARCH("Switch to",L151)))</formula>
    </cfRule>
    <cfRule type="containsText" dxfId="2035" priority="186" operator="containsText" text="Continue to Column M">
      <formula>NOT(ISERROR(SEARCH("Continue to Column M",L151)))</formula>
    </cfRule>
  </conditionalFormatting>
  <conditionalFormatting sqref="L159:L163">
    <cfRule type="containsText" dxfId="2034" priority="5" operator="containsText" text="False">
      <formula>NOT(ISERROR(SEARCH("False",L159)))</formula>
    </cfRule>
    <cfRule type="containsText" dxfId="2033" priority="6" operator="containsText" text="Continue to Column M">
      <formula>NOT(ISERROR(SEARCH("Continue to Column M",L159)))</formula>
    </cfRule>
    <cfRule type="containsText" dxfId="2032" priority="7" operator="containsText" text="Switch to">
      <formula>NOT(ISERROR(SEARCH("Switch to",L159)))</formula>
    </cfRule>
  </conditionalFormatting>
  <conditionalFormatting sqref="L167:L171">
    <cfRule type="containsText" dxfId="2031" priority="170" operator="containsText" text="False">
      <formula>NOT(ISERROR(SEARCH("False",L167)))</formula>
    </cfRule>
    <cfRule type="containsText" dxfId="2030" priority="172" operator="containsText" text="Switch to">
      <formula>NOT(ISERROR(SEARCH("Switch to",L167)))</formula>
    </cfRule>
    <cfRule type="containsText" dxfId="2029" priority="171" operator="containsText" text="Continue to Column M">
      <formula>NOT(ISERROR(SEARCH("Continue to Column M",L167)))</formula>
    </cfRule>
  </conditionalFormatting>
  <conditionalFormatting sqref="L175:L179">
    <cfRule type="containsText" dxfId="2028" priority="157" operator="containsText" text="Switch to">
      <formula>NOT(ISERROR(SEARCH("Switch to",L175)))</formula>
    </cfRule>
    <cfRule type="containsText" dxfId="2027" priority="156" operator="containsText" text="Continue to Column M">
      <formula>NOT(ISERROR(SEARCH("Continue to Column M",L175)))</formula>
    </cfRule>
    <cfRule type="containsText" dxfId="2026" priority="155" operator="containsText" text="False">
      <formula>NOT(ISERROR(SEARCH("False",L175)))</formula>
    </cfRule>
  </conditionalFormatting>
  <conditionalFormatting sqref="L183:L187">
    <cfRule type="containsText" dxfId="2025" priority="142" operator="containsText" text="Switch to">
      <formula>NOT(ISERROR(SEARCH("Switch to",L183)))</formula>
    </cfRule>
    <cfRule type="containsText" dxfId="2024" priority="141" operator="containsText" text="Continue to Column M">
      <formula>NOT(ISERROR(SEARCH("Continue to Column M",L183)))</formula>
    </cfRule>
    <cfRule type="containsText" dxfId="2023" priority="140" operator="containsText" text="False">
      <formula>NOT(ISERROR(SEARCH("False",L183)))</formula>
    </cfRule>
  </conditionalFormatting>
  <conditionalFormatting sqref="L191:L195">
    <cfRule type="containsText" dxfId="2022" priority="127" operator="containsText" text="Switch to">
      <formula>NOT(ISERROR(SEARCH("Switch to",L191)))</formula>
    </cfRule>
    <cfRule type="containsText" dxfId="2021" priority="126" operator="containsText" text="Continue to Column M">
      <formula>NOT(ISERROR(SEARCH("Continue to Column M",L191)))</formula>
    </cfRule>
    <cfRule type="containsText" dxfId="2020" priority="125" operator="containsText" text="False">
      <formula>NOT(ISERROR(SEARCH("False",L191)))</formula>
    </cfRule>
  </conditionalFormatting>
  <conditionalFormatting sqref="L199:L203">
    <cfRule type="containsText" dxfId="2019" priority="112" operator="containsText" text="Switch to">
      <formula>NOT(ISERROR(SEARCH("Switch to",L199)))</formula>
    </cfRule>
    <cfRule type="containsText" dxfId="2018" priority="111" operator="containsText" text="Continue to Column M">
      <formula>NOT(ISERROR(SEARCH("Continue to Column M",L199)))</formula>
    </cfRule>
    <cfRule type="containsText" dxfId="2017" priority="110" operator="containsText" text="False">
      <formula>NOT(ISERROR(SEARCH("False",L199)))</formula>
    </cfRule>
  </conditionalFormatting>
  <conditionalFormatting sqref="L207:L211">
    <cfRule type="containsText" dxfId="2016" priority="97" operator="containsText" text="Switch to">
      <formula>NOT(ISERROR(SEARCH("Switch to",L207)))</formula>
    </cfRule>
    <cfRule type="containsText" dxfId="2015" priority="96" operator="containsText" text="Continue to Column M">
      <formula>NOT(ISERROR(SEARCH("Continue to Column M",L207)))</formula>
    </cfRule>
    <cfRule type="containsText" dxfId="2014" priority="95" operator="containsText" text="False">
      <formula>NOT(ISERROR(SEARCH("False",L207)))</formula>
    </cfRule>
  </conditionalFormatting>
  <conditionalFormatting sqref="L215:L219">
    <cfRule type="containsText" dxfId="2013" priority="81" operator="containsText" text="Continue to Column M">
      <formula>NOT(ISERROR(SEARCH("Continue to Column M",L215)))</formula>
    </cfRule>
    <cfRule type="containsText" dxfId="2012" priority="82" operator="containsText" text="Switch to">
      <formula>NOT(ISERROR(SEARCH("Switch to",L215)))</formula>
    </cfRule>
    <cfRule type="containsText" dxfId="2011" priority="80" operator="containsText" text="False">
      <formula>NOT(ISERROR(SEARCH("False",L215)))</formula>
    </cfRule>
  </conditionalFormatting>
  <conditionalFormatting sqref="L223:L227">
    <cfRule type="containsText" dxfId="2010" priority="67" operator="containsText" text="Switch to">
      <formula>NOT(ISERROR(SEARCH("Switch to",L223)))</formula>
    </cfRule>
    <cfRule type="containsText" dxfId="2009" priority="65" operator="containsText" text="False">
      <formula>NOT(ISERROR(SEARCH("False",L223)))</formula>
    </cfRule>
    <cfRule type="containsText" dxfId="2008" priority="66" operator="containsText" text="Continue to Column M">
      <formula>NOT(ISERROR(SEARCH("Continue to Column M",L223)))</formula>
    </cfRule>
  </conditionalFormatting>
  <conditionalFormatting sqref="L231:L235">
    <cfRule type="containsText" dxfId="2007" priority="52" operator="containsText" text="Switch to">
      <formula>NOT(ISERROR(SEARCH("Switch to",L231)))</formula>
    </cfRule>
    <cfRule type="containsText" dxfId="2006" priority="50" operator="containsText" text="False">
      <formula>NOT(ISERROR(SEARCH("False",L231)))</formula>
    </cfRule>
    <cfRule type="containsText" dxfId="2005" priority="51" operator="containsText" text="Continue to Column M">
      <formula>NOT(ISERROR(SEARCH("Continue to Column M",L231)))</formula>
    </cfRule>
  </conditionalFormatting>
  <conditionalFormatting sqref="L239:L243">
    <cfRule type="containsText" dxfId="2004" priority="35" operator="containsText" text="False">
      <formula>NOT(ISERROR(SEARCH("False",L239)))</formula>
    </cfRule>
    <cfRule type="containsText" dxfId="2003" priority="36" operator="containsText" text="Continue to Column M">
      <formula>NOT(ISERROR(SEARCH("Continue to Column M",L239)))</formula>
    </cfRule>
    <cfRule type="containsText" dxfId="2002" priority="37" operator="containsText" text="Switch to">
      <formula>NOT(ISERROR(SEARCH("Switch to",L239)))</formula>
    </cfRule>
  </conditionalFormatting>
  <conditionalFormatting sqref="L247:L251">
    <cfRule type="containsText" dxfId="2001" priority="20" operator="containsText" text="False">
      <formula>NOT(ISERROR(SEARCH("False",L247)))</formula>
    </cfRule>
    <cfRule type="containsText" dxfId="2000" priority="21" operator="containsText" text="Continue to Column M">
      <formula>NOT(ISERROR(SEARCH("Continue to Column M",L247)))</formula>
    </cfRule>
    <cfRule type="containsText" dxfId="1999" priority="22" operator="containsText" text="Switch to">
      <formula>NOT(ISERROR(SEARCH("Switch to",L247)))</formula>
    </cfRule>
  </conditionalFormatting>
  <conditionalFormatting sqref="M15:M19">
    <cfRule type="expression" dxfId="1998" priority="20030">
      <formula>K15="Five yearly time-step"</formula>
    </cfRule>
  </conditionalFormatting>
  <conditionalFormatting sqref="M23">
    <cfRule type="expression" dxfId="1997" priority="2886">
      <formula>K23="Five yearly time-step"</formula>
    </cfRule>
  </conditionalFormatting>
  <conditionalFormatting sqref="M24:M27">
    <cfRule type="expression" dxfId="1996" priority="5745">
      <formula>K24="Five yearly time-step"</formula>
    </cfRule>
  </conditionalFormatting>
  <conditionalFormatting sqref="M31">
    <cfRule type="expression" dxfId="1995" priority="2902">
      <formula>K31="Five yearly time-step"</formula>
    </cfRule>
  </conditionalFormatting>
  <conditionalFormatting sqref="M32:M35">
    <cfRule type="expression" dxfId="1994" priority="5721">
      <formula>K32="Five yearly time-step"</formula>
    </cfRule>
  </conditionalFormatting>
  <conditionalFormatting sqref="M39">
    <cfRule type="expression" dxfId="1993" priority="2918">
      <formula>K39="Five yearly time-step"</formula>
    </cfRule>
  </conditionalFormatting>
  <conditionalFormatting sqref="M40:M43">
    <cfRule type="expression" dxfId="1992" priority="5697">
      <formula>K40="Five yearly time-step"</formula>
    </cfRule>
  </conditionalFormatting>
  <conditionalFormatting sqref="M47">
    <cfRule type="expression" dxfId="1991" priority="2934">
      <formula>K47="Five yearly time-step"</formula>
    </cfRule>
  </conditionalFormatting>
  <conditionalFormatting sqref="M48:M51">
    <cfRule type="expression" dxfId="1990" priority="5673">
      <formula>K48="Five yearly time-step"</formula>
    </cfRule>
  </conditionalFormatting>
  <conditionalFormatting sqref="M55">
    <cfRule type="expression" dxfId="1989" priority="2950">
      <formula>K55="Five yearly time-step"</formula>
    </cfRule>
  </conditionalFormatting>
  <conditionalFormatting sqref="M56:M59">
    <cfRule type="expression" dxfId="1988" priority="5649">
      <formula>K56="Five yearly time-step"</formula>
    </cfRule>
  </conditionalFormatting>
  <conditionalFormatting sqref="M63">
    <cfRule type="expression" dxfId="1987" priority="2966">
      <formula>K63="Five yearly time-step"</formula>
    </cfRule>
  </conditionalFormatting>
  <conditionalFormatting sqref="M64:M67">
    <cfRule type="expression" dxfId="1986" priority="5625">
      <formula>K64="Five yearly time-step"</formula>
    </cfRule>
  </conditionalFormatting>
  <conditionalFormatting sqref="M71">
    <cfRule type="expression" dxfId="1985" priority="2982">
      <formula>K71="Five yearly time-step"</formula>
    </cfRule>
  </conditionalFormatting>
  <conditionalFormatting sqref="M72:M75">
    <cfRule type="expression" dxfId="1984" priority="5601">
      <formula>K72="Five yearly time-step"</formula>
    </cfRule>
  </conditionalFormatting>
  <conditionalFormatting sqref="M79">
    <cfRule type="expression" dxfId="1983" priority="2998">
      <formula>K79="Five yearly time-step"</formula>
    </cfRule>
  </conditionalFormatting>
  <conditionalFormatting sqref="M80:M83">
    <cfRule type="expression" dxfId="1982" priority="5577">
      <formula>K80="Five yearly time-step"</formula>
    </cfRule>
  </conditionalFormatting>
  <conditionalFormatting sqref="M87">
    <cfRule type="expression" dxfId="1981" priority="3014">
      <formula>K87="Five yearly time-step"</formula>
    </cfRule>
  </conditionalFormatting>
  <conditionalFormatting sqref="M88:M91">
    <cfRule type="expression" dxfId="1980" priority="5553">
      <formula>K88="Five yearly time-step"</formula>
    </cfRule>
  </conditionalFormatting>
  <conditionalFormatting sqref="M95">
    <cfRule type="expression" dxfId="1979" priority="3030">
      <formula>K95="Five yearly time-step"</formula>
    </cfRule>
  </conditionalFormatting>
  <conditionalFormatting sqref="M96:M99">
    <cfRule type="expression" dxfId="1978" priority="5529">
      <formula>K96="Five yearly time-step"</formula>
    </cfRule>
  </conditionalFormatting>
  <conditionalFormatting sqref="M103">
    <cfRule type="expression" dxfId="1977" priority="3046">
      <formula>K103="Five yearly time-step"</formula>
    </cfRule>
  </conditionalFormatting>
  <conditionalFormatting sqref="M104:M107">
    <cfRule type="expression" dxfId="1976" priority="5505">
      <formula>K104="Five yearly time-step"</formula>
    </cfRule>
  </conditionalFormatting>
  <conditionalFormatting sqref="M111">
    <cfRule type="expression" dxfId="1975" priority="3062">
      <formula>K111="Five yearly time-step"</formula>
    </cfRule>
  </conditionalFormatting>
  <conditionalFormatting sqref="M112:M115">
    <cfRule type="expression" dxfId="1974" priority="8284">
      <formula>K112="Five yearly time-step"</formula>
    </cfRule>
  </conditionalFormatting>
  <conditionalFormatting sqref="M119">
    <cfRule type="expression" dxfId="1973" priority="3078">
      <formula>K119="Five yearly time-step"</formula>
    </cfRule>
  </conditionalFormatting>
  <conditionalFormatting sqref="M120:M123">
    <cfRule type="expression" dxfId="1972" priority="5481">
      <formula>K120="Five yearly time-step"</formula>
    </cfRule>
  </conditionalFormatting>
  <conditionalFormatting sqref="M127">
    <cfRule type="expression" dxfId="1971" priority="3094">
      <formula>K127="Five yearly time-step"</formula>
    </cfRule>
  </conditionalFormatting>
  <conditionalFormatting sqref="M128:M131">
    <cfRule type="expression" dxfId="1970" priority="5457">
      <formula>K128="Five yearly time-step"</formula>
    </cfRule>
  </conditionalFormatting>
  <conditionalFormatting sqref="M135">
    <cfRule type="expression" dxfId="1969" priority="3172">
      <formula>K135="Five yearly time-step"</formula>
    </cfRule>
  </conditionalFormatting>
  <conditionalFormatting sqref="M136:M139">
    <cfRule type="expression" dxfId="1968" priority="5433">
      <formula>K136="Five yearly time-step"</formula>
    </cfRule>
  </conditionalFormatting>
  <conditionalFormatting sqref="M143">
    <cfRule type="expression" dxfId="1967" priority="2870">
      <formula>K143="Five yearly time-step"</formula>
    </cfRule>
  </conditionalFormatting>
  <conditionalFormatting sqref="M144:M147">
    <cfRule type="expression" dxfId="1966" priority="5409">
      <formula>K144="Five yearly time-step"</formula>
    </cfRule>
  </conditionalFormatting>
  <conditionalFormatting sqref="M151">
    <cfRule type="expression" dxfId="1965" priority="2854">
      <formula>K151="Five yearly time-step"</formula>
    </cfRule>
  </conditionalFormatting>
  <conditionalFormatting sqref="M152:M155">
    <cfRule type="expression" dxfId="1964" priority="5385">
      <formula>K152="Five yearly time-step"</formula>
    </cfRule>
  </conditionalFormatting>
  <conditionalFormatting sqref="M159">
    <cfRule type="expression" dxfId="1963" priority="2838">
      <formula>K159="Five yearly time-step"</formula>
    </cfRule>
  </conditionalFormatting>
  <conditionalFormatting sqref="M160:M163">
    <cfRule type="expression" dxfId="1962" priority="5361">
      <formula>K160="Five yearly time-step"</formula>
    </cfRule>
  </conditionalFormatting>
  <conditionalFormatting sqref="M167">
    <cfRule type="expression" dxfId="1961" priority="2822">
      <formula>K167="Five yearly time-step"</formula>
    </cfRule>
  </conditionalFormatting>
  <conditionalFormatting sqref="M168:M171">
    <cfRule type="expression" dxfId="1960" priority="5337">
      <formula>K168="Five yearly time-step"</formula>
    </cfRule>
  </conditionalFormatting>
  <conditionalFormatting sqref="M175">
    <cfRule type="expression" dxfId="1959" priority="2806">
      <formula>K175="Five yearly time-step"</formula>
    </cfRule>
  </conditionalFormatting>
  <conditionalFormatting sqref="M176:M179">
    <cfRule type="expression" dxfId="1958" priority="5313">
      <formula>K176="Five yearly time-step"</formula>
    </cfRule>
  </conditionalFormatting>
  <conditionalFormatting sqref="M183">
    <cfRule type="expression" dxfId="1957" priority="2790">
      <formula>K183="Five yearly time-step"</formula>
    </cfRule>
  </conditionalFormatting>
  <conditionalFormatting sqref="M184:M187">
    <cfRule type="expression" dxfId="1956" priority="5289">
      <formula>K184="Five yearly time-step"</formula>
    </cfRule>
  </conditionalFormatting>
  <conditionalFormatting sqref="M191">
    <cfRule type="expression" dxfId="1955" priority="2774">
      <formula>K191="Five yearly time-step"</formula>
    </cfRule>
  </conditionalFormatting>
  <conditionalFormatting sqref="M192:M195">
    <cfRule type="expression" dxfId="1954" priority="5265">
      <formula>K192="Five yearly time-step"</formula>
    </cfRule>
  </conditionalFormatting>
  <conditionalFormatting sqref="M199">
    <cfRule type="expression" dxfId="1953" priority="2758">
      <formula>K199="Five yearly time-step"</formula>
    </cfRule>
  </conditionalFormatting>
  <conditionalFormatting sqref="M200:M203">
    <cfRule type="expression" dxfId="1952" priority="5241">
      <formula>K200="Five yearly time-step"</formula>
    </cfRule>
  </conditionalFormatting>
  <conditionalFormatting sqref="M207">
    <cfRule type="expression" dxfId="1951" priority="2742">
      <formula>K207="Five yearly time-step"</formula>
    </cfRule>
  </conditionalFormatting>
  <conditionalFormatting sqref="M208:M211">
    <cfRule type="expression" dxfId="1950" priority="5217">
      <formula>K208="Five yearly time-step"</formula>
    </cfRule>
  </conditionalFormatting>
  <conditionalFormatting sqref="M215">
    <cfRule type="expression" dxfId="1949" priority="2726">
      <formula>K215="Five yearly time-step"</formula>
    </cfRule>
  </conditionalFormatting>
  <conditionalFormatting sqref="M216:M219">
    <cfRule type="expression" dxfId="1948" priority="5193">
      <formula>K216="Five yearly time-step"</formula>
    </cfRule>
  </conditionalFormatting>
  <conditionalFormatting sqref="M223">
    <cfRule type="expression" dxfId="1947" priority="2710">
      <formula>K223="Five yearly time-step"</formula>
    </cfRule>
  </conditionalFormatting>
  <conditionalFormatting sqref="M224:M227">
    <cfRule type="expression" dxfId="1946" priority="5169">
      <formula>K224="Five yearly time-step"</formula>
    </cfRule>
  </conditionalFormatting>
  <conditionalFormatting sqref="M231">
    <cfRule type="expression" dxfId="1945" priority="2694">
      <formula>K231="Five yearly time-step"</formula>
    </cfRule>
  </conditionalFormatting>
  <conditionalFormatting sqref="M232:M235">
    <cfRule type="expression" dxfId="1944" priority="5145">
      <formula>K232="Five yearly time-step"</formula>
    </cfRule>
  </conditionalFormatting>
  <conditionalFormatting sqref="M239">
    <cfRule type="expression" dxfId="1943" priority="2678">
      <formula>K239="Five yearly time-step"</formula>
    </cfRule>
  </conditionalFormatting>
  <conditionalFormatting sqref="M240:M243">
    <cfRule type="expression" dxfId="1942" priority="5121">
      <formula>K240="Five yearly time-step"</formula>
    </cfRule>
  </conditionalFormatting>
  <conditionalFormatting sqref="M247">
    <cfRule type="expression" dxfId="1941" priority="2662">
      <formula>K247="Five yearly time-step"</formula>
    </cfRule>
  </conditionalFormatting>
  <conditionalFormatting sqref="M248:M251">
    <cfRule type="expression" dxfId="1940" priority="5097">
      <formula>K248="Five yearly time-step"</formula>
    </cfRule>
  </conditionalFormatting>
  <conditionalFormatting sqref="N15:N19">
    <cfRule type="expression" dxfId="1939" priority="20029">
      <formula>K15="Five yearly time-step"</formula>
    </cfRule>
  </conditionalFormatting>
  <conditionalFormatting sqref="N23">
    <cfRule type="expression" dxfId="1938" priority="2883">
      <formula>K23="Five yearly time-step"</formula>
    </cfRule>
  </conditionalFormatting>
  <conditionalFormatting sqref="N24:N27">
    <cfRule type="expression" dxfId="1937" priority="5739">
      <formula>K24="Five yearly time-step"</formula>
    </cfRule>
  </conditionalFormatting>
  <conditionalFormatting sqref="N31">
    <cfRule type="expression" dxfId="1936" priority="2899">
      <formula>K31="Five yearly time-step"</formula>
    </cfRule>
  </conditionalFormatting>
  <conditionalFormatting sqref="N32:N35">
    <cfRule type="expression" dxfId="1935" priority="5715">
      <formula>K32="Five yearly time-step"</formula>
    </cfRule>
  </conditionalFormatting>
  <conditionalFormatting sqref="N39">
    <cfRule type="expression" dxfId="1934" priority="2915">
      <formula>K39="Five yearly time-step"</formula>
    </cfRule>
  </conditionalFormatting>
  <conditionalFormatting sqref="N40:N43">
    <cfRule type="expression" dxfId="1933" priority="5691">
      <formula>K40="Five yearly time-step"</formula>
    </cfRule>
  </conditionalFormatting>
  <conditionalFormatting sqref="N47">
    <cfRule type="expression" dxfId="1932" priority="2931">
      <formula>K47="Five yearly time-step"</formula>
    </cfRule>
  </conditionalFormatting>
  <conditionalFormatting sqref="N48:N51">
    <cfRule type="expression" dxfId="1931" priority="5667">
      <formula>K48="Five yearly time-step"</formula>
    </cfRule>
  </conditionalFormatting>
  <conditionalFormatting sqref="N55">
    <cfRule type="expression" dxfId="1930" priority="2947">
      <formula>K55="Five yearly time-step"</formula>
    </cfRule>
  </conditionalFormatting>
  <conditionalFormatting sqref="N56:N59">
    <cfRule type="expression" dxfId="1929" priority="5643">
      <formula>K56="Five yearly time-step"</formula>
    </cfRule>
  </conditionalFormatting>
  <conditionalFormatting sqref="N63">
    <cfRule type="expression" dxfId="1928" priority="2963">
      <formula>K63="Five yearly time-step"</formula>
    </cfRule>
  </conditionalFormatting>
  <conditionalFormatting sqref="N64:N67">
    <cfRule type="expression" dxfId="1927" priority="5619">
      <formula>K64="Five yearly time-step"</formula>
    </cfRule>
  </conditionalFormatting>
  <conditionalFormatting sqref="N71">
    <cfRule type="expression" dxfId="1926" priority="2979">
      <formula>K71="Five yearly time-step"</formula>
    </cfRule>
  </conditionalFormatting>
  <conditionalFormatting sqref="N72:N75">
    <cfRule type="expression" dxfId="1925" priority="5595">
      <formula>K72="Five yearly time-step"</formula>
    </cfRule>
  </conditionalFormatting>
  <conditionalFormatting sqref="N79">
    <cfRule type="expression" dxfId="1924" priority="2995">
      <formula>K79="Five yearly time-step"</formula>
    </cfRule>
  </conditionalFormatting>
  <conditionalFormatting sqref="N80:N83">
    <cfRule type="expression" dxfId="1923" priority="5571">
      <formula>K80="Five yearly time-step"</formula>
    </cfRule>
  </conditionalFormatting>
  <conditionalFormatting sqref="N87">
    <cfRule type="expression" dxfId="1922" priority="3011">
      <formula>K87="Five yearly time-step"</formula>
    </cfRule>
  </conditionalFormatting>
  <conditionalFormatting sqref="N88:N91">
    <cfRule type="expression" dxfId="1921" priority="5547">
      <formula>K88="Five yearly time-step"</formula>
    </cfRule>
  </conditionalFormatting>
  <conditionalFormatting sqref="N95">
    <cfRule type="expression" dxfId="1920" priority="3027">
      <formula>K95="Five yearly time-step"</formula>
    </cfRule>
  </conditionalFormatting>
  <conditionalFormatting sqref="N96:N99">
    <cfRule type="expression" dxfId="1919" priority="5523">
      <formula>K96="Five yearly time-step"</formula>
    </cfRule>
  </conditionalFormatting>
  <conditionalFormatting sqref="N103">
    <cfRule type="expression" dxfId="1918" priority="3043">
      <formula>K103="Five yearly time-step"</formula>
    </cfRule>
  </conditionalFormatting>
  <conditionalFormatting sqref="N104:N107">
    <cfRule type="expression" dxfId="1917" priority="5499">
      <formula>K104="Five yearly time-step"</formula>
    </cfRule>
  </conditionalFormatting>
  <conditionalFormatting sqref="N111">
    <cfRule type="expression" dxfId="1916" priority="3059">
      <formula>K111="Five yearly time-step"</formula>
    </cfRule>
  </conditionalFormatting>
  <conditionalFormatting sqref="N112:N115">
    <cfRule type="expression" dxfId="1915" priority="8283">
      <formula>K112="Five yearly time-step"</formula>
    </cfRule>
  </conditionalFormatting>
  <conditionalFormatting sqref="N119">
    <cfRule type="expression" dxfId="1914" priority="3075">
      <formula>K119="Five yearly time-step"</formula>
    </cfRule>
  </conditionalFormatting>
  <conditionalFormatting sqref="N120:N123">
    <cfRule type="expression" dxfId="1913" priority="5475">
      <formula>K120="Five yearly time-step"</formula>
    </cfRule>
  </conditionalFormatting>
  <conditionalFormatting sqref="N127">
    <cfRule type="expression" dxfId="1912" priority="3091">
      <formula>K127="Five yearly time-step"</formula>
    </cfRule>
  </conditionalFormatting>
  <conditionalFormatting sqref="N128:N131">
    <cfRule type="expression" dxfId="1911" priority="5451">
      <formula>K128="Five yearly time-step"</formula>
    </cfRule>
  </conditionalFormatting>
  <conditionalFormatting sqref="N135">
    <cfRule type="expression" dxfId="1910" priority="3169">
      <formula>K135="Five yearly time-step"</formula>
    </cfRule>
  </conditionalFormatting>
  <conditionalFormatting sqref="N136:N139">
    <cfRule type="expression" dxfId="1909" priority="5427">
      <formula>K136="Five yearly time-step"</formula>
    </cfRule>
  </conditionalFormatting>
  <conditionalFormatting sqref="N143">
    <cfRule type="expression" dxfId="1908" priority="2867">
      <formula>K143="Five yearly time-step"</formula>
    </cfRule>
  </conditionalFormatting>
  <conditionalFormatting sqref="N144:N147">
    <cfRule type="expression" dxfId="1907" priority="5403">
      <formula>K144="Five yearly time-step"</formula>
    </cfRule>
  </conditionalFormatting>
  <conditionalFormatting sqref="N151">
    <cfRule type="expression" dxfId="1906" priority="2851">
      <formula>K151="Five yearly time-step"</formula>
    </cfRule>
  </conditionalFormatting>
  <conditionalFormatting sqref="N152:N155">
    <cfRule type="expression" dxfId="1905" priority="5379">
      <formula>K152="Five yearly time-step"</formula>
    </cfRule>
  </conditionalFormatting>
  <conditionalFormatting sqref="N159">
    <cfRule type="expression" dxfId="1904" priority="2835">
      <formula>K159="Five yearly time-step"</formula>
    </cfRule>
  </conditionalFormatting>
  <conditionalFormatting sqref="N160:N163">
    <cfRule type="expression" dxfId="1903" priority="5355">
      <formula>K160="Five yearly time-step"</formula>
    </cfRule>
  </conditionalFormatting>
  <conditionalFormatting sqref="N167">
    <cfRule type="expression" dxfId="1902" priority="2819">
      <formula>K167="Five yearly time-step"</formula>
    </cfRule>
  </conditionalFormatting>
  <conditionalFormatting sqref="N168:N171">
    <cfRule type="expression" dxfId="1901" priority="5331">
      <formula>K168="Five yearly time-step"</formula>
    </cfRule>
  </conditionalFormatting>
  <conditionalFormatting sqref="N175">
    <cfRule type="expression" dxfId="1900" priority="2803">
      <formula>K175="Five yearly time-step"</formula>
    </cfRule>
  </conditionalFormatting>
  <conditionalFormatting sqref="N176:N179">
    <cfRule type="expression" dxfId="1899" priority="5307">
      <formula>K176="Five yearly time-step"</formula>
    </cfRule>
  </conditionalFormatting>
  <conditionalFormatting sqref="N183">
    <cfRule type="expression" dxfId="1898" priority="2787">
      <formula>K183="Five yearly time-step"</formula>
    </cfRule>
  </conditionalFormatting>
  <conditionalFormatting sqref="N184:N187">
    <cfRule type="expression" dxfId="1897" priority="5283">
      <formula>K184="Five yearly time-step"</formula>
    </cfRule>
  </conditionalFormatting>
  <conditionalFormatting sqref="N191">
    <cfRule type="expression" dxfId="1896" priority="2771">
      <formula>K191="Five yearly time-step"</formula>
    </cfRule>
  </conditionalFormatting>
  <conditionalFormatting sqref="N192:N195">
    <cfRule type="expression" dxfId="1895" priority="5259">
      <formula>K192="Five yearly time-step"</formula>
    </cfRule>
  </conditionalFormatting>
  <conditionalFormatting sqref="N199">
    <cfRule type="expression" dxfId="1894" priority="2755">
      <formula>K199="Five yearly time-step"</formula>
    </cfRule>
  </conditionalFormatting>
  <conditionalFormatting sqref="N200:N203">
    <cfRule type="expression" dxfId="1893" priority="5235">
      <formula>K200="Five yearly time-step"</formula>
    </cfRule>
  </conditionalFormatting>
  <conditionalFormatting sqref="N207">
    <cfRule type="expression" dxfId="1892" priority="2739">
      <formula>K207="Five yearly time-step"</formula>
    </cfRule>
  </conditionalFormatting>
  <conditionalFormatting sqref="N208:N211">
    <cfRule type="expression" dxfId="1891" priority="5211">
      <formula>K208="Five yearly time-step"</formula>
    </cfRule>
  </conditionalFormatting>
  <conditionalFormatting sqref="N215">
    <cfRule type="expression" dxfId="1890" priority="2723">
      <formula>K215="Five yearly time-step"</formula>
    </cfRule>
  </conditionalFormatting>
  <conditionalFormatting sqref="N216:N219">
    <cfRule type="expression" dxfId="1889" priority="5187">
      <formula>K216="Five yearly time-step"</formula>
    </cfRule>
  </conditionalFormatting>
  <conditionalFormatting sqref="N223">
    <cfRule type="expression" dxfId="1888" priority="2707">
      <formula>K223="Five yearly time-step"</formula>
    </cfRule>
  </conditionalFormatting>
  <conditionalFormatting sqref="N224:N227">
    <cfRule type="expression" dxfId="1887" priority="5163">
      <formula>K224="Five yearly time-step"</formula>
    </cfRule>
  </conditionalFormatting>
  <conditionalFormatting sqref="N231">
    <cfRule type="expression" dxfId="1886" priority="2691">
      <formula>K231="Five yearly time-step"</formula>
    </cfRule>
  </conditionalFormatting>
  <conditionalFormatting sqref="N232:N235">
    <cfRule type="expression" dxfId="1885" priority="5139">
      <formula>K232="Five yearly time-step"</formula>
    </cfRule>
  </conditionalFormatting>
  <conditionalFormatting sqref="N239">
    <cfRule type="expression" dxfId="1884" priority="2675">
      <formula>K239="Five yearly time-step"</formula>
    </cfRule>
  </conditionalFormatting>
  <conditionalFormatting sqref="N240:N243">
    <cfRule type="expression" dxfId="1883" priority="5115">
      <formula>K240="Five yearly time-step"</formula>
    </cfRule>
  </conditionalFormatting>
  <conditionalFormatting sqref="N247">
    <cfRule type="expression" dxfId="1882" priority="2659">
      <formula>K247="Five yearly time-step"</formula>
    </cfRule>
  </conditionalFormatting>
  <conditionalFormatting sqref="N248:N251">
    <cfRule type="expression" dxfId="1881" priority="5091">
      <formula>K248="Five yearly time-step"</formula>
    </cfRule>
  </conditionalFormatting>
  <conditionalFormatting sqref="O15:O19">
    <cfRule type="expression" dxfId="1880" priority="20026">
      <formula>K15="Five yearly time-step"</formula>
    </cfRule>
  </conditionalFormatting>
  <conditionalFormatting sqref="O23">
    <cfRule type="expression" dxfId="1879" priority="2882">
      <formula>K23="Five yearly time-step"</formula>
    </cfRule>
  </conditionalFormatting>
  <conditionalFormatting sqref="O24">
    <cfRule type="expression" dxfId="1877" priority="18717">
      <formula>K24="Five yearly time-step"</formula>
    </cfRule>
  </conditionalFormatting>
  <conditionalFormatting sqref="O25:O27">
    <cfRule type="expression" dxfId="1876" priority="5733">
      <formula>K25="Five yearly time-step"</formula>
    </cfRule>
  </conditionalFormatting>
  <conditionalFormatting sqref="O31:O35">
    <cfRule type="expression" dxfId="1875" priority="2898">
      <formula>K31="Five yearly time-step"</formula>
    </cfRule>
  </conditionalFormatting>
  <conditionalFormatting sqref="O39:O43">
    <cfRule type="expression" dxfId="1874" priority="2914">
      <formula>K39="Five yearly time-step"</formula>
    </cfRule>
  </conditionalFormatting>
  <conditionalFormatting sqref="O47:O51">
    <cfRule type="expression" dxfId="1873" priority="2930">
      <formula>K47="Five yearly time-step"</formula>
    </cfRule>
  </conditionalFormatting>
  <conditionalFormatting sqref="O55:O59">
    <cfRule type="expression" dxfId="1872" priority="2946">
      <formula>K55="Five yearly time-step"</formula>
    </cfRule>
  </conditionalFormatting>
  <conditionalFormatting sqref="O63:O67">
    <cfRule type="expression" dxfId="1871" priority="2962">
      <formula>K63="Five yearly time-step"</formula>
    </cfRule>
  </conditionalFormatting>
  <conditionalFormatting sqref="O71:O75">
    <cfRule type="expression" dxfId="1870" priority="2978">
      <formula>K71="Five yearly time-step"</formula>
    </cfRule>
  </conditionalFormatting>
  <conditionalFormatting sqref="O79:O83">
    <cfRule type="expression" dxfId="1869" priority="2994">
      <formula>K79="Five yearly time-step"</formula>
    </cfRule>
  </conditionalFormatting>
  <conditionalFormatting sqref="O87:O91">
    <cfRule type="expression" dxfId="1868" priority="3010">
      <formula>K87="Five yearly time-step"</formula>
    </cfRule>
  </conditionalFormatting>
  <conditionalFormatting sqref="O95:O99">
    <cfRule type="expression" dxfId="1867" priority="3026">
      <formula>K95="Five yearly time-step"</formula>
    </cfRule>
  </conditionalFormatting>
  <conditionalFormatting sqref="O103:O107">
    <cfRule type="expression" dxfId="1866" priority="3042">
      <formula>K103="Five yearly time-step"</formula>
    </cfRule>
  </conditionalFormatting>
  <conditionalFormatting sqref="O111:O115">
    <cfRule type="expression" dxfId="1865" priority="3058">
      <formula>K111="Five yearly time-step"</formula>
    </cfRule>
  </conditionalFormatting>
  <conditionalFormatting sqref="O119:O123">
    <cfRule type="expression" dxfId="1864" priority="3074">
      <formula>K119="Five yearly time-step"</formula>
    </cfRule>
  </conditionalFormatting>
  <conditionalFormatting sqref="O127:O131">
    <cfRule type="expression" dxfId="1863" priority="3090">
      <formula>K127="Five yearly time-step"</formula>
    </cfRule>
  </conditionalFormatting>
  <conditionalFormatting sqref="O135:O139">
    <cfRule type="expression" dxfId="1862" priority="3168">
      <formula>K135="Five yearly time-step"</formula>
    </cfRule>
  </conditionalFormatting>
  <conditionalFormatting sqref="O143:O147">
    <cfRule type="expression" dxfId="1861" priority="2866">
      <formula>K143="Five yearly time-step"</formula>
    </cfRule>
  </conditionalFormatting>
  <conditionalFormatting sqref="O151:O155">
    <cfRule type="expression" dxfId="1860" priority="2850">
      <formula>K151="Five yearly time-step"</formula>
    </cfRule>
  </conditionalFormatting>
  <conditionalFormatting sqref="O159:O163">
    <cfRule type="expression" dxfId="1859" priority="2834">
      <formula>K159="Five yearly time-step"</formula>
    </cfRule>
  </conditionalFormatting>
  <conditionalFormatting sqref="O167:O171">
    <cfRule type="expression" dxfId="1858" priority="2818">
      <formula>K167="Five yearly time-step"</formula>
    </cfRule>
  </conditionalFormatting>
  <conditionalFormatting sqref="O175:O179">
    <cfRule type="expression" dxfId="1857" priority="2802">
      <formula>K175="Five yearly time-step"</formula>
    </cfRule>
  </conditionalFormatting>
  <conditionalFormatting sqref="O183:O187">
    <cfRule type="expression" dxfId="1856" priority="2786">
      <formula>K183="Five yearly time-step"</formula>
    </cfRule>
  </conditionalFormatting>
  <conditionalFormatting sqref="O191:O195">
    <cfRule type="expression" dxfId="1855" priority="2770">
      <formula>K191="Five yearly time-step"</formula>
    </cfRule>
  </conditionalFormatting>
  <conditionalFormatting sqref="O199:O203">
    <cfRule type="expression" dxfId="1854" priority="2754">
      <formula>K199="Five yearly time-step"</formula>
    </cfRule>
  </conditionalFormatting>
  <conditionalFormatting sqref="O207:O211">
    <cfRule type="expression" dxfId="1853" priority="2738">
      <formula>K207="Five yearly time-step"</formula>
    </cfRule>
  </conditionalFormatting>
  <conditionalFormatting sqref="O215:O219">
    <cfRule type="expression" dxfId="1852" priority="2722">
      <formula>K215="Five yearly time-step"</formula>
    </cfRule>
  </conditionalFormatting>
  <conditionalFormatting sqref="O223:O227">
    <cfRule type="expression" dxfId="1851" priority="2706">
      <formula>K223="Five yearly time-step"</formula>
    </cfRule>
  </conditionalFormatting>
  <conditionalFormatting sqref="O231:O235">
    <cfRule type="expression" dxfId="1850" priority="2690">
      <formula>K231="Five yearly time-step"</formula>
    </cfRule>
  </conditionalFormatting>
  <conditionalFormatting sqref="O239:O243">
    <cfRule type="expression" dxfId="1849" priority="2674">
      <formula>K239="Five yearly time-step"</formula>
    </cfRule>
  </conditionalFormatting>
  <conditionalFormatting sqref="O247:O251">
    <cfRule type="expression" dxfId="1848" priority="2658">
      <formula>K247="Five yearly time-step"</formula>
    </cfRule>
  </conditionalFormatting>
  <conditionalFormatting sqref="P15:P19">
    <cfRule type="expression" dxfId="1847" priority="20025">
      <formula>$K15="Five yearly time-step"</formula>
    </cfRule>
    <cfRule type="expression" dxfId="1846" priority="20023">
      <formula>K15="Choose option"</formula>
    </cfRule>
  </conditionalFormatting>
  <conditionalFormatting sqref="P23">
    <cfRule type="expression" dxfId="1845" priority="2873">
      <formula>K23="Choose option"</formula>
    </cfRule>
    <cfRule type="expression" dxfId="1844" priority="2880">
      <formula>$K23="Five yearly time-step"</formula>
    </cfRule>
    <cfRule type="expression" dxfId="1843" priority="2879">
      <formula>K23="Choose option"</formula>
    </cfRule>
    <cfRule type="expression" dxfId="1842" priority="2878">
      <formula>$K23="Five yearly time-step"</formula>
    </cfRule>
    <cfRule type="expression" dxfId="1841" priority="2877">
      <formula>K23="Choose option"</formula>
    </cfRule>
    <cfRule type="expression" dxfId="1840" priority="2876">
      <formula>$K23="Five yearly time-step"</formula>
    </cfRule>
    <cfRule type="expression" dxfId="1839" priority="2875">
      <formula>K23="Choose option"</formula>
    </cfRule>
    <cfRule type="expression" dxfId="1838" priority="2874">
      <formula>$K23="Five yearly time-step"</formula>
    </cfRule>
  </conditionalFormatting>
  <conditionalFormatting sqref="P24:P27">
    <cfRule type="expression" dxfId="1837" priority="5076">
      <formula>$K24="Five yearly time-step"</formula>
    </cfRule>
    <cfRule type="expression" dxfId="1836" priority="5075">
      <formula>K24="Choose option"</formula>
    </cfRule>
  </conditionalFormatting>
  <conditionalFormatting sqref="P25">
    <cfRule type="expression" dxfId="1835" priority="3994">
      <formula>K25="Choose option"</formula>
    </cfRule>
    <cfRule type="expression" dxfId="1834" priority="3993">
      <formula>J25="Choose option"</formula>
    </cfRule>
    <cfRule type="expression" dxfId="1833" priority="3995">
      <formula>$K25="Five yearly time-step"</formula>
    </cfRule>
    <cfRule type="expression" dxfId="1832" priority="3996">
      <formula>K25="Choose option"</formula>
    </cfRule>
    <cfRule type="expression" dxfId="1831" priority="3997">
      <formula>$K25="Five yearly time-step"</formula>
    </cfRule>
  </conditionalFormatting>
  <conditionalFormatting sqref="P26">
    <cfRule type="expression" dxfId="1830" priority="3988">
      <formula>K26="Choose option"</formula>
    </cfRule>
    <cfRule type="expression" dxfId="1829" priority="3989">
      <formula>$K26="Five yearly time-step"</formula>
    </cfRule>
    <cfRule type="expression" dxfId="1828" priority="3990">
      <formula>K26="Choose option"</formula>
    </cfRule>
    <cfRule type="expression" dxfId="1827" priority="3991">
      <formula>$K26="Five yearly time-step"</formula>
    </cfRule>
  </conditionalFormatting>
  <conditionalFormatting sqref="P26:P27">
    <cfRule type="expression" dxfId="1826" priority="3982">
      <formula>K26="Choose option"</formula>
    </cfRule>
    <cfRule type="expression" dxfId="1825" priority="3983">
      <formula>$K26="Five yearly time-step"</formula>
    </cfRule>
  </conditionalFormatting>
  <conditionalFormatting sqref="P27">
    <cfRule type="expression" dxfId="1823" priority="3980">
      <formula>K27="Choose option"</formula>
    </cfRule>
    <cfRule type="expression" dxfId="1822" priority="3981">
      <formula>$K27="Five yearly time-step"</formula>
    </cfRule>
    <cfRule type="expression" dxfId="1821" priority="3979">
      <formula>$K27="Five yearly time-step"</formula>
    </cfRule>
    <cfRule type="expression" dxfId="1820" priority="3978">
      <formula>K27="Choose option"</formula>
    </cfRule>
  </conditionalFormatting>
  <conditionalFormatting sqref="P31">
    <cfRule type="expression" dxfId="1819" priority="2892">
      <formula>$K31="Five yearly time-step"</formula>
    </cfRule>
    <cfRule type="expression" dxfId="1818" priority="2891">
      <formula>K31="Choose option"</formula>
    </cfRule>
    <cfRule type="expression" dxfId="1817" priority="2890">
      <formula>$K31="Five yearly time-step"</formula>
    </cfRule>
    <cfRule type="expression" dxfId="1816" priority="2889">
      <formula>K31="Choose option"</formula>
    </cfRule>
    <cfRule type="expression" dxfId="1815" priority="2020">
      <formula>K31="Choose option"</formula>
    </cfRule>
    <cfRule type="expression" dxfId="1814" priority="2021">
      <formula>$K31="Five yearly time-step"</formula>
    </cfRule>
    <cfRule type="expression" dxfId="1813" priority="2022">
      <formula>K31="Choose option"</formula>
    </cfRule>
    <cfRule type="expression" dxfId="1812" priority="2024">
      <formula>K31="Choose option"</formula>
    </cfRule>
    <cfRule type="expression" dxfId="1811" priority="2025">
      <formula>$K31="Five yearly time-step"</formula>
    </cfRule>
    <cfRule type="expression" dxfId="1810" priority="2026">
      <formula>K31="Choose option"</formula>
    </cfRule>
    <cfRule type="expression" dxfId="1809" priority="2027">
      <formula>$K31="Five yearly time-step"</formula>
    </cfRule>
    <cfRule type="expression" dxfId="1808" priority="2306">
      <formula>$K31="Five yearly time-step"</formula>
    </cfRule>
    <cfRule type="expression" dxfId="1807" priority="2305">
      <formula>K31="Choose option"</formula>
    </cfRule>
    <cfRule type="expression" dxfId="1806" priority="2304">
      <formula>$K31="Five yearly time-step"</formula>
    </cfRule>
    <cfRule type="expression" dxfId="1805" priority="2303">
      <formula>K31="Choose option"</formula>
    </cfRule>
    <cfRule type="expression" dxfId="1804" priority="2302">
      <formula>$K31="Five yearly time-step"</formula>
    </cfRule>
    <cfRule type="expression" dxfId="1803" priority="2301">
      <formula>K31="Choose option"</formula>
    </cfRule>
    <cfRule type="expression" dxfId="1802" priority="2300">
      <formula>$K31="Five yearly time-step"</formula>
    </cfRule>
    <cfRule type="expression" dxfId="1801" priority="2299">
      <formula>K31="Choose option"</formula>
    </cfRule>
    <cfRule type="expression" dxfId="1799" priority="2023">
      <formula>$K31="Five yearly time-step"</formula>
    </cfRule>
    <cfRule type="expression" dxfId="1798" priority="2894">
      <formula>$K31="Five yearly time-step"</formula>
    </cfRule>
    <cfRule type="expression" dxfId="1797" priority="2893">
      <formula>K31="Choose option"</formula>
    </cfRule>
  </conditionalFormatting>
  <conditionalFormatting sqref="P31:P35">
    <cfRule type="expression" dxfId="1796" priority="2895">
      <formula>K31="Choose option"</formula>
    </cfRule>
    <cfRule type="expression" dxfId="1795" priority="2896">
      <formula>$K31="Five yearly time-step"</formula>
    </cfRule>
  </conditionalFormatting>
  <conditionalFormatting sqref="P32:P35">
    <cfRule type="expression" dxfId="1794" priority="2051">
      <formula>K32="Choose option"</formula>
    </cfRule>
    <cfRule type="expression" dxfId="1793" priority="2052">
      <formula>$K32="Five yearly time-step"</formula>
    </cfRule>
    <cfRule type="expression" dxfId="1792" priority="5052">
      <formula>$K32="Five yearly time-step"</formula>
    </cfRule>
    <cfRule type="expression" dxfId="1791" priority="5051">
      <formula>K32="Choose option"</formula>
    </cfRule>
  </conditionalFormatting>
  <conditionalFormatting sqref="P33">
    <cfRule type="expression" dxfId="1789" priority="1896">
      <formula>K33="Choose option"</formula>
    </cfRule>
    <cfRule type="expression" dxfId="1788" priority="1899">
      <formula>$K33="Five yearly time-step"</formula>
    </cfRule>
    <cfRule type="expression" dxfId="1787" priority="2040">
      <formula>J33="Choose option"</formula>
    </cfRule>
    <cfRule type="expression" dxfId="1786" priority="1898">
      <formula>K33="Choose option"</formula>
    </cfRule>
    <cfRule type="expression" dxfId="1785" priority="1897">
      <formula>$K33="Five yearly time-step"</formula>
    </cfRule>
    <cfRule type="expression" dxfId="1784" priority="2042">
      <formula>$K33="Five yearly time-step"</formula>
    </cfRule>
    <cfRule type="expression" dxfId="1783" priority="2043">
      <formula>K33="Choose option"</formula>
    </cfRule>
    <cfRule type="expression" dxfId="1782" priority="2044">
      <formula>$K33="Five yearly time-step"</formula>
    </cfRule>
  </conditionalFormatting>
  <conditionalFormatting sqref="P33:P34">
    <cfRule type="expression" dxfId="1781" priority="2038">
      <formula>K33="Choose option"</formula>
    </cfRule>
  </conditionalFormatting>
  <conditionalFormatting sqref="P33:P35">
    <cfRule type="expression" dxfId="1780" priority="2046">
      <formula>$K33="Five yearly time-step"</formula>
    </cfRule>
    <cfRule type="expression" dxfId="1779" priority="2045">
      <formula>K33="Choose option"</formula>
    </cfRule>
  </conditionalFormatting>
  <conditionalFormatting sqref="P34">
    <cfRule type="expression" dxfId="1778" priority="2039">
      <formula>$K34="Five yearly time-step"</formula>
    </cfRule>
    <cfRule type="expression" dxfId="1777" priority="2037">
      <formula>$K34="Five yearly time-step"</formula>
    </cfRule>
    <cfRule type="expression" dxfId="1776" priority="2036">
      <formula>K34="Choose option"</formula>
    </cfRule>
  </conditionalFormatting>
  <conditionalFormatting sqref="P34:P35">
    <cfRule type="expression" dxfId="1775" priority="2033">
      <formula>$K34="Five yearly time-step"</formula>
    </cfRule>
    <cfRule type="expression" dxfId="1774" priority="2032">
      <formula>K34="Choose option"</formula>
    </cfRule>
  </conditionalFormatting>
  <conditionalFormatting sqref="P35">
    <cfRule type="expression" dxfId="1773" priority="2031">
      <formula>$K35="Five yearly time-step"</formula>
    </cfRule>
    <cfRule type="expression" dxfId="1772" priority="2030">
      <formula>K35="Choose option"</formula>
    </cfRule>
    <cfRule type="expression" dxfId="1771" priority="2029">
      <formula>$K35="Five yearly time-step"</formula>
    </cfRule>
    <cfRule type="expression" dxfId="1770" priority="2028">
      <formula>K35="Choose option"</formula>
    </cfRule>
  </conditionalFormatting>
  <conditionalFormatting sqref="P39">
    <cfRule type="expression" dxfId="1769" priority="1989">
      <formula>$K39="Five yearly time-step"</formula>
    </cfRule>
    <cfRule type="expression" dxfId="1768" priority="1990">
      <formula>K39="Choose option"</formula>
    </cfRule>
    <cfRule type="expression" dxfId="1767" priority="1991">
      <formula>$K39="Five yearly time-step"</formula>
    </cfRule>
    <cfRule type="expression" dxfId="1766" priority="2905">
      <formula>K39="Choose option"</formula>
    </cfRule>
    <cfRule type="expression" dxfId="1765" priority="2906">
      <formula>$K39="Five yearly time-step"</formula>
    </cfRule>
    <cfRule type="expression" dxfId="1764" priority="2907">
      <formula>K39="Choose option"</formula>
    </cfRule>
    <cfRule type="expression" dxfId="1763" priority="2908">
      <formula>$K39="Five yearly time-step"</formula>
    </cfRule>
    <cfRule type="expression" dxfId="1762" priority="2909">
      <formula>K39="Choose option"</formula>
    </cfRule>
    <cfRule type="expression" dxfId="1761" priority="2910">
      <formula>$K39="Five yearly time-step"</formula>
    </cfRule>
    <cfRule type="expression" dxfId="1760" priority="2911">
      <formula>K39="Choose option"</formula>
    </cfRule>
    <cfRule type="expression" dxfId="1759" priority="2912">
      <formula>$K39="Five yearly time-step"</formula>
    </cfRule>
    <cfRule type="expression" dxfId="1757" priority="2290">
      <formula>K39="Choose option"</formula>
    </cfRule>
    <cfRule type="expression" dxfId="1756" priority="2291">
      <formula>$K39="Five yearly time-step"</formula>
    </cfRule>
    <cfRule type="expression" dxfId="1755" priority="2292">
      <formula>K39="Choose option"</formula>
    </cfRule>
    <cfRule type="expression" dxfId="1754" priority="2293">
      <formula>$K39="Five yearly time-step"</formula>
    </cfRule>
    <cfRule type="expression" dxfId="1753" priority="2294">
      <formula>K39="Choose option"</formula>
    </cfRule>
    <cfRule type="expression" dxfId="1752" priority="2295">
      <formula>$K39="Five yearly time-step"</formula>
    </cfRule>
    <cfRule type="expression" dxfId="1751" priority="2296">
      <formula>K39="Choose option"</formula>
    </cfRule>
    <cfRule type="expression" dxfId="1750" priority="2297">
      <formula>$K39="Five yearly time-step"</formula>
    </cfRule>
    <cfRule type="expression" dxfId="1749" priority="1984">
      <formula>K39="Choose option"</formula>
    </cfRule>
    <cfRule type="expression" dxfId="1748" priority="1985">
      <formula>$K39="Five yearly time-step"</formula>
    </cfRule>
    <cfRule type="expression" dxfId="1747" priority="1986">
      <formula>K39="Choose option"</formula>
    </cfRule>
    <cfRule type="expression" dxfId="1746" priority="1987">
      <formula>$K39="Five yearly time-step"</formula>
    </cfRule>
    <cfRule type="expression" dxfId="1745" priority="1988">
      <formula>K39="Choose option"</formula>
    </cfRule>
  </conditionalFormatting>
  <conditionalFormatting sqref="P40">
    <cfRule type="expression" dxfId="1744" priority="3963">
      <formula>$K40="Five yearly time-step"</formula>
    </cfRule>
    <cfRule type="expression" dxfId="1743" priority="3962">
      <formula>K40="Choose option"</formula>
    </cfRule>
  </conditionalFormatting>
  <conditionalFormatting sqref="P40:P41">
    <cfRule type="expression" dxfId="1742" priority="3958">
      <formula>$K40="Five yearly time-step"</formula>
    </cfRule>
    <cfRule type="expression" dxfId="1741" priority="3957">
      <formula>K40="Choose option"</formula>
    </cfRule>
  </conditionalFormatting>
  <conditionalFormatting sqref="P40:P43">
    <cfRule type="expression" dxfId="1739" priority="1885">
      <formula>K40="Choose option"</formula>
    </cfRule>
    <cfRule type="expression" dxfId="1738" priority="1887">
      <formula>K40="Choose option"</formula>
    </cfRule>
    <cfRule type="expression" dxfId="1737" priority="5039">
      <formula>K40="Choose option"</formula>
    </cfRule>
    <cfRule type="expression" dxfId="1736" priority="5040">
      <formula>$K40="Five yearly time-step"</formula>
    </cfRule>
    <cfRule type="expression" dxfId="1735" priority="1888">
      <formula>$K40="Five yearly time-step"</formula>
    </cfRule>
    <cfRule type="expression" dxfId="1734" priority="1878">
      <formula>$K40="Five yearly time-step"</formula>
    </cfRule>
    <cfRule type="expression" dxfId="1733" priority="2011">
      <formula>K40="Choose option"</formula>
    </cfRule>
    <cfRule type="expression" dxfId="1732" priority="2012">
      <formula>$K40="Five yearly time-step"</formula>
    </cfRule>
    <cfRule type="expression" dxfId="1731" priority="1886">
      <formula>$K40="Five yearly time-step"</formula>
    </cfRule>
    <cfRule type="expression" dxfId="1730" priority="1877">
      <formula>K40="Choose option"</formula>
    </cfRule>
  </conditionalFormatting>
  <conditionalFormatting sqref="P41">
    <cfRule type="expression" dxfId="1729" priority="2004">
      <formula>J41="Choose option"</formula>
    </cfRule>
    <cfRule type="expression" dxfId="1728" priority="2006">
      <formula>$K41="Five yearly time-step"</formula>
    </cfRule>
    <cfRule type="expression" dxfId="1727" priority="2007">
      <formula>K41="Choose option"</formula>
    </cfRule>
    <cfRule type="expression" dxfId="1726" priority="2008">
      <formula>$K41="Five yearly time-step"</formula>
    </cfRule>
    <cfRule type="expression" dxfId="1725" priority="1870">
      <formula>$K41="Five yearly time-step"</formula>
    </cfRule>
    <cfRule type="expression" dxfId="1724" priority="1869">
      <formula>K41="Choose option"</formula>
    </cfRule>
    <cfRule type="expression" dxfId="1723" priority="1868">
      <formula>$K41="Five yearly time-step"</formula>
    </cfRule>
    <cfRule type="expression" dxfId="1722" priority="1866">
      <formula>J41="Choose option"</formula>
    </cfRule>
    <cfRule type="expression" dxfId="1721" priority="1850">
      <formula>$K41="Five yearly time-step"</formula>
    </cfRule>
    <cfRule type="expression" dxfId="1720" priority="1849">
      <formula>K41="Choose option"</formula>
    </cfRule>
    <cfRule type="expression" dxfId="1719" priority="1848">
      <formula>$K41="Five yearly time-step"</formula>
    </cfRule>
    <cfRule type="expression" dxfId="1718" priority="1847">
      <formula>K41="Choose option"</formula>
    </cfRule>
  </conditionalFormatting>
  <conditionalFormatting sqref="P41:P42">
    <cfRule type="expression" dxfId="1717" priority="3953">
      <formula>$K41="Five yearly time-step"</formula>
    </cfRule>
    <cfRule type="expression" dxfId="1716" priority="3952">
      <formula>K41="Choose option"</formula>
    </cfRule>
    <cfRule type="expression" dxfId="1715" priority="1864">
      <formula>K41="Choose option"</formula>
    </cfRule>
  </conditionalFormatting>
  <conditionalFormatting sqref="P41:P43">
    <cfRule type="expression" dxfId="1714" priority="1871">
      <formula>K41="Choose option"</formula>
    </cfRule>
    <cfRule type="expression" dxfId="1713" priority="1872">
      <formula>$K41="Five yearly time-step"</formula>
    </cfRule>
    <cfRule type="expression" dxfId="1712" priority="2002">
      <formula>K41="Choose option"</formula>
    </cfRule>
  </conditionalFormatting>
  <conditionalFormatting sqref="P42">
    <cfRule type="expression" dxfId="1711" priority="1865">
      <formula>$K42="Five yearly time-step"</formula>
    </cfRule>
    <cfRule type="expression" dxfId="1710" priority="1863">
      <formula>$K42="Five yearly time-step"</formula>
    </cfRule>
    <cfRule type="expression" dxfId="1709" priority="1862">
      <formula>K42="Choose option"</formula>
    </cfRule>
    <cfRule type="expression" dxfId="1708" priority="2001">
      <formula>$K42="Five yearly time-step"</formula>
    </cfRule>
    <cfRule type="expression" dxfId="1707" priority="2000">
      <formula>K42="Choose option"</formula>
    </cfRule>
  </conditionalFormatting>
  <conditionalFormatting sqref="P42:P43">
    <cfRule type="expression" dxfId="1706" priority="1859">
      <formula>$K42="Five yearly time-step"</formula>
    </cfRule>
    <cfRule type="expression" dxfId="1705" priority="2003">
      <formula>$K42="Five yearly time-step"</formula>
    </cfRule>
    <cfRule type="expression" dxfId="1704" priority="1858">
      <formula>K42="Choose option"</formula>
    </cfRule>
    <cfRule type="expression" dxfId="1703" priority="1997">
      <formula>$K42="Five yearly time-step"</formula>
    </cfRule>
    <cfRule type="expression" dxfId="1702" priority="1996">
      <formula>K42="Choose option"</formula>
    </cfRule>
    <cfRule type="expression" dxfId="1701" priority="3947">
      <formula>K42="Choose option"</formula>
    </cfRule>
    <cfRule type="expression" dxfId="1699" priority="3948">
      <formula>$K42="Five yearly time-step"</formula>
    </cfRule>
  </conditionalFormatting>
  <conditionalFormatting sqref="P43">
    <cfRule type="expression" dxfId="1698" priority="1854">
      <formula>K43="Choose option"</formula>
    </cfRule>
    <cfRule type="expression" dxfId="1697" priority="1857">
      <formula>$K43="Five yearly time-step"</formula>
    </cfRule>
    <cfRule type="expression" dxfId="1696" priority="1856">
      <formula>K43="Choose option"</formula>
    </cfRule>
    <cfRule type="expression" dxfId="1695" priority="1855">
      <formula>$K43="Five yearly time-step"</formula>
    </cfRule>
    <cfRule type="expression" dxfId="1694" priority="1992">
      <formula>K43="Choose option"</formula>
    </cfRule>
    <cfRule type="expression" dxfId="1693" priority="1995">
      <formula>$K43="Five yearly time-step"</formula>
    </cfRule>
    <cfRule type="expression" dxfId="1692" priority="1993">
      <formula>$K43="Five yearly time-step"</formula>
    </cfRule>
    <cfRule type="expression" dxfId="1691" priority="1994">
      <formula>K43="Choose option"</formula>
    </cfRule>
  </conditionalFormatting>
  <conditionalFormatting sqref="P47">
    <cfRule type="expression" dxfId="1690" priority="2282">
      <formula>$K47="Five yearly time-step"</formula>
    </cfRule>
    <cfRule type="expression" dxfId="1689" priority="2288">
      <formula>$K47="Five yearly time-step"</formula>
    </cfRule>
    <cfRule type="expression" dxfId="1688" priority="2926">
      <formula>$K47="Five yearly time-step"</formula>
    </cfRule>
    <cfRule type="expression" dxfId="1687" priority="2284">
      <formula>$K47="Five yearly time-step"</formula>
    </cfRule>
    <cfRule type="expression" dxfId="1686" priority="2285">
      <formula>K47="Choose option"</formula>
    </cfRule>
    <cfRule type="expression" dxfId="1685" priority="2286">
      <formula>$K47="Five yearly time-step"</formula>
    </cfRule>
    <cfRule type="expression" dxfId="1684" priority="2287">
      <formula>K47="Choose option"</formula>
    </cfRule>
    <cfRule type="expression" dxfId="1683" priority="2924">
      <formula>$K47="Five yearly time-step"</formula>
    </cfRule>
    <cfRule type="expression" dxfId="1682" priority="2923">
      <formula>K47="Choose option"</formula>
    </cfRule>
    <cfRule type="expression" dxfId="1681" priority="2922">
      <formula>$K47="Five yearly time-step"</formula>
    </cfRule>
    <cfRule type="expression" dxfId="1680" priority="2925">
      <formula>K47="Choose option"</formula>
    </cfRule>
    <cfRule type="expression" dxfId="1679" priority="2283">
      <formula>K47="Choose option"</formula>
    </cfRule>
    <cfRule type="expression" dxfId="1678" priority="2281">
      <formula>K47="Choose option"</formula>
    </cfRule>
    <cfRule type="expression" dxfId="1677" priority="2921">
      <formula>K47="Choose option"</formula>
    </cfRule>
  </conditionalFormatting>
  <conditionalFormatting sqref="P47:P51">
    <cfRule type="expression" dxfId="1676" priority="2928">
      <formula>$K47="Five yearly time-step"</formula>
    </cfRule>
    <cfRule type="expression" dxfId="1675" priority="2927">
      <formula>K47="Choose option"</formula>
    </cfRule>
  </conditionalFormatting>
  <conditionalFormatting sqref="P48:P51">
    <cfRule type="expression" dxfId="1674" priority="1837">
      <formula>$K48="Five yearly time-step"</formula>
    </cfRule>
    <cfRule type="expression" dxfId="1673" priority="1829">
      <formula>$K48="Five yearly time-step"</formula>
    </cfRule>
    <cfRule type="expression" dxfId="1671" priority="5027">
      <formula>K48="Choose option"</formula>
    </cfRule>
    <cfRule type="expression" dxfId="1670" priority="1828">
      <formula>K48="Choose option"</formula>
    </cfRule>
    <cfRule type="expression" dxfId="1669" priority="5028">
      <formula>$K48="Five yearly time-step"</formula>
    </cfRule>
    <cfRule type="expression" dxfId="1668" priority="1838">
      <formula>K48="Choose option"</formula>
    </cfRule>
    <cfRule type="expression" dxfId="1667" priority="1839">
      <formula>$K48="Five yearly time-step"</formula>
    </cfRule>
    <cfRule type="expression" dxfId="1666" priority="1836">
      <formula>K48="Choose option"</formula>
    </cfRule>
    <cfRule type="expression" dxfId="1665" priority="3943">
      <formula>$K48="Five yearly time-step"</formula>
    </cfRule>
    <cfRule type="expression" dxfId="1664" priority="3942">
      <formula>K48="Choose option"</formula>
    </cfRule>
  </conditionalFormatting>
  <conditionalFormatting sqref="P49">
    <cfRule type="expression" dxfId="1663" priority="1801">
      <formula>$K49="Five yearly time-step"</formula>
    </cfRule>
    <cfRule type="expression" dxfId="1662" priority="1800">
      <formula>K49="Choose option"</formula>
    </cfRule>
    <cfRule type="expression" dxfId="1661" priority="1799">
      <formula>$K49="Five yearly time-step"</formula>
    </cfRule>
    <cfRule type="expression" dxfId="1660" priority="1798">
      <formula>K49="Choose option"</formula>
    </cfRule>
    <cfRule type="expression" dxfId="1659" priority="1821">
      <formula>$K49="Five yearly time-step"</formula>
    </cfRule>
    <cfRule type="expression" dxfId="1658" priority="1819">
      <formula>$K49="Five yearly time-step"</formula>
    </cfRule>
    <cfRule type="expression" dxfId="1657" priority="1820">
      <formula>K49="Choose option"</formula>
    </cfRule>
    <cfRule type="expression" dxfId="1656" priority="1817">
      <formula>J49="Choose option"</formula>
    </cfRule>
  </conditionalFormatting>
  <conditionalFormatting sqref="P49:P50">
    <cfRule type="expression" dxfId="1655" priority="1815">
      <formula>K49="Choose option"</formula>
    </cfRule>
  </conditionalFormatting>
  <conditionalFormatting sqref="P49:P51">
    <cfRule type="expression" dxfId="1654" priority="1822">
      <formula>K49="Choose option"</formula>
    </cfRule>
    <cfRule type="expression" dxfId="1653" priority="1823">
      <formula>$K49="Five yearly time-step"</formula>
    </cfRule>
  </conditionalFormatting>
  <conditionalFormatting sqref="P50">
    <cfRule type="expression" dxfId="1652" priority="1813">
      <formula>K50="Choose option"</formula>
    </cfRule>
    <cfRule type="expression" dxfId="1651" priority="1814">
      <formula>$K50="Five yearly time-step"</formula>
    </cfRule>
    <cfRule type="expression" dxfId="1650" priority="1816">
      <formula>$K50="Five yearly time-step"</formula>
    </cfRule>
  </conditionalFormatting>
  <conditionalFormatting sqref="P50:P51">
    <cfRule type="expression" dxfId="1649" priority="1810">
      <formula>$K50="Five yearly time-step"</formula>
    </cfRule>
    <cfRule type="expression" dxfId="1648" priority="1809">
      <formula>K50="Choose option"</formula>
    </cfRule>
  </conditionalFormatting>
  <conditionalFormatting sqref="P51">
    <cfRule type="expression" dxfId="1647" priority="1805">
      <formula>K51="Choose option"</formula>
    </cfRule>
    <cfRule type="expression" dxfId="1646" priority="1806">
      <formula>$K51="Five yearly time-step"</formula>
    </cfRule>
    <cfRule type="expression" dxfId="1645" priority="1807">
      <formula>K51="Choose option"</formula>
    </cfRule>
    <cfRule type="expression" dxfId="1644" priority="1808">
      <formula>$K51="Five yearly time-step"</formula>
    </cfRule>
  </conditionalFormatting>
  <conditionalFormatting sqref="P55">
    <cfRule type="expression" dxfId="1643" priority="2276">
      <formula>K55="Choose option"</formula>
    </cfRule>
    <cfRule type="expression" dxfId="1642" priority="2272">
      <formula>K55="Choose option"</formula>
    </cfRule>
    <cfRule type="expression" dxfId="1641" priority="2273">
      <formula>$K55="Five yearly time-step"</formula>
    </cfRule>
    <cfRule type="expression" dxfId="1640" priority="2274">
      <formula>K55="Choose option"</formula>
    </cfRule>
    <cfRule type="expression" dxfId="1639" priority="2275">
      <formula>$K55="Five yearly time-step"</formula>
    </cfRule>
    <cfRule type="expression" dxfId="1638" priority="2942">
      <formula>$K55="Five yearly time-step"</formula>
    </cfRule>
    <cfRule type="expression" dxfId="1637" priority="2941">
      <formula>K55="Choose option"</formula>
    </cfRule>
    <cfRule type="expression" dxfId="1636" priority="2940">
      <formula>$K55="Five yearly time-step"</formula>
    </cfRule>
    <cfRule type="expression" dxfId="1635" priority="2939">
      <formula>K55="Choose option"</formula>
    </cfRule>
    <cfRule type="expression" dxfId="1634" priority="2938">
      <formula>$K55="Five yearly time-step"</formula>
    </cfRule>
    <cfRule type="expression" dxfId="1633" priority="2937">
      <formula>K55="Choose option"</formula>
    </cfRule>
    <cfRule type="expression" dxfId="1632" priority="2278">
      <formula>K55="Choose option"</formula>
    </cfRule>
    <cfRule type="expression" dxfId="1631" priority="2279">
      <formula>$K55="Five yearly time-step"</formula>
    </cfRule>
    <cfRule type="expression" dxfId="1630" priority="2277">
      <formula>$K55="Five yearly time-step"</formula>
    </cfRule>
  </conditionalFormatting>
  <conditionalFormatting sqref="P55:P59">
    <cfRule type="expression" dxfId="1629" priority="2943">
      <formula>K55="Choose option"</formula>
    </cfRule>
    <cfRule type="expression" dxfId="1628" priority="2944">
      <formula>$K55="Five yearly time-step"</formula>
    </cfRule>
  </conditionalFormatting>
  <conditionalFormatting sqref="P56:P59">
    <cfRule type="expression" dxfId="1626" priority="5015">
      <formula>K56="Choose option"</formula>
    </cfRule>
    <cfRule type="expression" dxfId="1625" priority="5016">
      <formula>$K56="Five yearly time-step"</formula>
    </cfRule>
    <cfRule type="expression" dxfId="1624" priority="1788">
      <formula>$K56="Five yearly time-step"</formula>
    </cfRule>
    <cfRule type="expression" dxfId="1623" priority="1789">
      <formula>K56="Choose option"</formula>
    </cfRule>
    <cfRule type="expression" dxfId="1622" priority="3930">
      <formula>$K56="Five yearly time-step"</formula>
    </cfRule>
    <cfRule type="expression" dxfId="1621" priority="1780">
      <formula>$K56="Five yearly time-step"</formula>
    </cfRule>
    <cfRule type="expression" dxfId="1620" priority="1787">
      <formula>K56="Choose option"</formula>
    </cfRule>
    <cfRule type="expression" dxfId="1619" priority="3932">
      <formula>$K56="Five yearly time-step"</formula>
    </cfRule>
    <cfRule type="expression" dxfId="1618" priority="3929">
      <formula>K56="Choose option"</formula>
    </cfRule>
    <cfRule type="expression" dxfId="1617" priority="3931">
      <formula>K56="Choose option"</formula>
    </cfRule>
    <cfRule type="expression" dxfId="1616" priority="1779">
      <formula>K56="Choose option"</formula>
    </cfRule>
    <cfRule type="expression" dxfId="1615" priority="1790">
      <formula>$K56="Five yearly time-step"</formula>
    </cfRule>
  </conditionalFormatting>
  <conditionalFormatting sqref="P57">
    <cfRule type="expression" dxfId="1614" priority="1768">
      <formula>J57="Choose option"</formula>
    </cfRule>
    <cfRule type="expression" dxfId="1613" priority="1770">
      <formula>$K57="Five yearly time-step"</formula>
    </cfRule>
    <cfRule type="expression" dxfId="1612" priority="1772">
      <formula>$K57="Five yearly time-step"</formula>
    </cfRule>
    <cfRule type="expression" dxfId="1611" priority="1751">
      <formula>K57="Choose option"</formula>
    </cfRule>
    <cfRule type="expression" dxfId="1610" priority="1750">
      <formula>$K57="Five yearly time-step"</formula>
    </cfRule>
    <cfRule type="expression" dxfId="1609" priority="1752">
      <formula>$K57="Five yearly time-step"</formula>
    </cfRule>
    <cfRule type="expression" dxfId="1608" priority="1749">
      <formula>K57="Choose option"</formula>
    </cfRule>
    <cfRule type="expression" dxfId="1607" priority="1771">
      <formula>K57="Choose option"</formula>
    </cfRule>
  </conditionalFormatting>
  <conditionalFormatting sqref="P57:P58">
    <cfRule type="expression" dxfId="1606" priority="1766">
      <formula>K57="Choose option"</formula>
    </cfRule>
  </conditionalFormatting>
  <conditionalFormatting sqref="P57:P59">
    <cfRule type="expression" dxfId="1605" priority="1773">
      <formula>K57="Choose option"</formula>
    </cfRule>
    <cfRule type="expression" dxfId="1604" priority="1774">
      <formula>$K57="Five yearly time-step"</formula>
    </cfRule>
  </conditionalFormatting>
  <conditionalFormatting sqref="P58">
    <cfRule type="expression" dxfId="1603" priority="1767">
      <formula>$K58="Five yearly time-step"</formula>
    </cfRule>
    <cfRule type="expression" dxfId="1602" priority="1764">
      <formula>K58="Choose option"</formula>
    </cfRule>
    <cfRule type="expression" dxfId="1601" priority="1765">
      <formula>$K58="Five yearly time-step"</formula>
    </cfRule>
  </conditionalFormatting>
  <conditionalFormatting sqref="P58:P59">
    <cfRule type="expression" dxfId="1600" priority="1760">
      <formula>K58="Choose option"</formula>
    </cfRule>
    <cfRule type="expression" dxfId="1599" priority="1761">
      <formula>$K58="Five yearly time-step"</formula>
    </cfRule>
  </conditionalFormatting>
  <conditionalFormatting sqref="P59">
    <cfRule type="expression" dxfId="1598" priority="1759">
      <formula>$K59="Five yearly time-step"</formula>
    </cfRule>
    <cfRule type="expression" dxfId="1597" priority="1756">
      <formula>K59="Choose option"</formula>
    </cfRule>
    <cfRule type="expression" dxfId="1596" priority="1757">
      <formula>$K59="Five yearly time-step"</formula>
    </cfRule>
    <cfRule type="expression" dxfId="1595" priority="1758">
      <formula>K59="Choose option"</formula>
    </cfRule>
  </conditionalFormatting>
  <conditionalFormatting sqref="P63">
    <cfRule type="expression" dxfId="1594" priority="2270">
      <formula>$K63="Five yearly time-step"</formula>
    </cfRule>
    <cfRule type="expression" dxfId="1593" priority="2953">
      <formula>K63="Choose option"</formula>
    </cfRule>
    <cfRule type="expression" dxfId="1592" priority="2263">
      <formula>K63="Choose option"</formula>
    </cfRule>
    <cfRule type="expression" dxfId="1591" priority="2265">
      <formula>K63="Choose option"</formula>
    </cfRule>
    <cfRule type="expression" dxfId="1590" priority="2956">
      <formula>$K63="Five yearly time-step"</formula>
    </cfRule>
    <cfRule type="expression" dxfId="1589" priority="2958">
      <formula>$K63="Five yearly time-step"</formula>
    </cfRule>
    <cfRule type="expression" dxfId="1588" priority="2269">
      <formula>K63="Choose option"</formula>
    </cfRule>
    <cfRule type="expression" dxfId="1587" priority="2268">
      <formula>$K63="Five yearly time-step"</formula>
    </cfRule>
    <cfRule type="expression" dxfId="1586" priority="2267">
      <formula>K63="Choose option"</formula>
    </cfRule>
    <cfRule type="expression" dxfId="1585" priority="2266">
      <formula>$K63="Five yearly time-step"</formula>
    </cfRule>
    <cfRule type="expression" dxfId="1584" priority="2954">
      <formula>$K63="Five yearly time-step"</formula>
    </cfRule>
    <cfRule type="expression" dxfId="1583" priority="2955">
      <formula>K63="Choose option"</formula>
    </cfRule>
    <cfRule type="expression" dxfId="1582" priority="2264">
      <formula>$K63="Five yearly time-step"</formula>
    </cfRule>
    <cfRule type="expression" dxfId="1581" priority="2957">
      <formula>K63="Choose option"</formula>
    </cfRule>
  </conditionalFormatting>
  <conditionalFormatting sqref="P63:P67">
    <cfRule type="expression" dxfId="1580" priority="2960">
      <formula>$K63="Five yearly time-step"</formula>
    </cfRule>
    <cfRule type="expression" dxfId="1579" priority="2959">
      <formula>K63="Choose option"</formula>
    </cfRule>
  </conditionalFormatting>
  <conditionalFormatting sqref="P64:P67">
    <cfRule type="expression" dxfId="1578" priority="5003">
      <formula>K64="Choose option"</formula>
    </cfRule>
    <cfRule type="expression" dxfId="1577" priority="5004">
      <formula>$K64="Five yearly time-step"</formula>
    </cfRule>
    <cfRule type="expression" dxfId="1576" priority="1740">
      <formula>K64="Choose option"</formula>
    </cfRule>
    <cfRule type="expression" dxfId="1574" priority="1741">
      <formula>$K64="Five yearly time-step"</formula>
    </cfRule>
    <cfRule type="expression" dxfId="1573" priority="1730">
      <formula>K64="Choose option"</formula>
    </cfRule>
    <cfRule type="expression" dxfId="1572" priority="1731">
      <formula>$K64="Five yearly time-step"</formula>
    </cfRule>
    <cfRule type="expression" dxfId="1571" priority="3919">
      <formula>$K64="Five yearly time-step"</formula>
    </cfRule>
    <cfRule type="expression" dxfId="1570" priority="1739">
      <formula>$K64="Five yearly time-step"</formula>
    </cfRule>
    <cfRule type="expression" dxfId="1569" priority="1738">
      <formula>K64="Choose option"</formula>
    </cfRule>
    <cfRule type="expression" dxfId="1568" priority="3916">
      <formula>K64="Choose option"</formula>
    </cfRule>
    <cfRule type="expression" dxfId="1567" priority="3917">
      <formula>$K64="Five yearly time-step"</formula>
    </cfRule>
    <cfRule type="expression" dxfId="1566" priority="3918">
      <formula>K64="Choose option"</formula>
    </cfRule>
  </conditionalFormatting>
  <conditionalFormatting sqref="P65">
    <cfRule type="expression" dxfId="1565" priority="1723">
      <formula>$K65="Five yearly time-step"</formula>
    </cfRule>
    <cfRule type="expression" dxfId="1564" priority="1721">
      <formula>$K65="Five yearly time-step"</formula>
    </cfRule>
    <cfRule type="expression" dxfId="1563" priority="1703">
      <formula>$K65="Five yearly time-step"</formula>
    </cfRule>
    <cfRule type="expression" dxfId="1562" priority="1722">
      <formula>K65="Choose option"</formula>
    </cfRule>
    <cfRule type="expression" dxfId="1561" priority="1700">
      <formula>K65="Choose option"</formula>
    </cfRule>
    <cfRule type="expression" dxfId="1560" priority="1719">
      <formula>J65="Choose option"</formula>
    </cfRule>
    <cfRule type="expression" dxfId="1559" priority="1702">
      <formula>K65="Choose option"</formula>
    </cfRule>
    <cfRule type="expression" dxfId="1558" priority="1701">
      <formula>$K65="Five yearly time-step"</formula>
    </cfRule>
  </conditionalFormatting>
  <conditionalFormatting sqref="P65:P66">
    <cfRule type="expression" dxfId="1557" priority="1717">
      <formula>K65="Choose option"</formula>
    </cfRule>
  </conditionalFormatting>
  <conditionalFormatting sqref="P65:P67">
    <cfRule type="expression" dxfId="1556" priority="1724">
      <formula>K65="Choose option"</formula>
    </cfRule>
    <cfRule type="expression" dxfId="1555" priority="1725">
      <formula>$K65="Five yearly time-step"</formula>
    </cfRule>
  </conditionalFormatting>
  <conditionalFormatting sqref="P66">
    <cfRule type="expression" dxfId="1554" priority="1715">
      <formula>K66="Choose option"</formula>
    </cfRule>
    <cfRule type="expression" dxfId="1553" priority="1718">
      <formula>$K66="Five yearly time-step"</formula>
    </cfRule>
    <cfRule type="expression" dxfId="1552" priority="1716">
      <formula>$K66="Five yearly time-step"</formula>
    </cfRule>
  </conditionalFormatting>
  <conditionalFormatting sqref="P66:P67">
    <cfRule type="expression" dxfId="1551" priority="1712">
      <formula>$K66="Five yearly time-step"</formula>
    </cfRule>
    <cfRule type="expression" dxfId="1550" priority="1711">
      <formula>K66="Choose option"</formula>
    </cfRule>
  </conditionalFormatting>
  <conditionalFormatting sqref="P67">
    <cfRule type="expression" dxfId="1549" priority="1708">
      <formula>$K67="Five yearly time-step"</formula>
    </cfRule>
    <cfRule type="expression" dxfId="1548" priority="1707">
      <formula>K67="Choose option"</formula>
    </cfRule>
    <cfRule type="expression" dxfId="1547" priority="1709">
      <formula>K67="Choose option"</formula>
    </cfRule>
    <cfRule type="expression" dxfId="1546" priority="1710">
      <formula>$K67="Five yearly time-step"</formula>
    </cfRule>
  </conditionalFormatting>
  <conditionalFormatting sqref="P71">
    <cfRule type="expression" dxfId="1545" priority="2259">
      <formula>$K71="Five yearly time-step"</formula>
    </cfRule>
    <cfRule type="expression" dxfId="1544" priority="2258">
      <formula>K71="Choose option"</formula>
    </cfRule>
    <cfRule type="expression" dxfId="1543" priority="2257">
      <formula>$K71="Five yearly time-step"</formula>
    </cfRule>
    <cfRule type="expression" dxfId="1542" priority="2256">
      <formula>K71="Choose option"</formula>
    </cfRule>
    <cfRule type="expression" dxfId="1541" priority="2255">
      <formula>$K71="Five yearly time-step"</formula>
    </cfRule>
    <cfRule type="expression" dxfId="1540" priority="2971">
      <formula>K71="Choose option"</formula>
    </cfRule>
    <cfRule type="expression" dxfId="1539" priority="2970">
      <formula>$K71="Five yearly time-step"</formula>
    </cfRule>
    <cfRule type="expression" dxfId="1538" priority="2254">
      <formula>K71="Choose option"</formula>
    </cfRule>
    <cfRule type="expression" dxfId="1537" priority="2969">
      <formula>K71="Choose option"</formula>
    </cfRule>
    <cfRule type="expression" dxfId="1536" priority="2974">
      <formula>$K71="Five yearly time-step"</formula>
    </cfRule>
    <cfRule type="expression" dxfId="1535" priority="2973">
      <formula>K71="Choose option"</formula>
    </cfRule>
    <cfRule type="expression" dxfId="1534" priority="2972">
      <formula>$K71="Five yearly time-step"</formula>
    </cfRule>
    <cfRule type="expression" dxfId="1533" priority="2261">
      <formula>$K71="Five yearly time-step"</formula>
    </cfRule>
    <cfRule type="expression" dxfId="1532" priority="2260">
      <formula>K71="Choose option"</formula>
    </cfRule>
  </conditionalFormatting>
  <conditionalFormatting sqref="P71:P75">
    <cfRule type="expression" dxfId="1531" priority="2975">
      <formula>K71="Choose option"</formula>
    </cfRule>
    <cfRule type="expression" dxfId="1530" priority="2976">
      <formula>$K71="Five yearly time-step"</formula>
    </cfRule>
  </conditionalFormatting>
  <conditionalFormatting sqref="P72:P75">
    <cfRule type="expression" dxfId="1529" priority="1681">
      <formula>K72="Choose option"</formula>
    </cfRule>
    <cfRule type="expression" dxfId="1528" priority="3903">
      <formula>K72="Choose option"</formula>
    </cfRule>
    <cfRule type="expression" dxfId="1527" priority="3904">
      <formula>$K72="Five yearly time-step"</formula>
    </cfRule>
    <cfRule type="expression" dxfId="1525" priority="3905">
      <formula>K72="Choose option"</formula>
    </cfRule>
    <cfRule type="expression" dxfId="1524" priority="3906">
      <formula>$K72="Five yearly time-step"</formula>
    </cfRule>
    <cfRule type="expression" dxfId="1523" priority="4991">
      <formula>K72="Choose option"</formula>
    </cfRule>
    <cfRule type="expression" dxfId="1522" priority="4992">
      <formula>$K72="Five yearly time-step"</formula>
    </cfRule>
    <cfRule type="expression" dxfId="1521" priority="1689">
      <formula>K72="Choose option"</formula>
    </cfRule>
    <cfRule type="expression" dxfId="1520" priority="1690">
      <formula>$K72="Five yearly time-step"</formula>
    </cfRule>
    <cfRule type="expression" dxfId="1519" priority="1692">
      <formula>$K72="Five yearly time-step"</formula>
    </cfRule>
    <cfRule type="expression" dxfId="1518" priority="1691">
      <formula>K72="Choose option"</formula>
    </cfRule>
    <cfRule type="expression" dxfId="1517" priority="1682">
      <formula>$K72="Five yearly time-step"</formula>
    </cfRule>
  </conditionalFormatting>
  <conditionalFormatting sqref="P73">
    <cfRule type="expression" dxfId="1516" priority="1654">
      <formula>$K73="Five yearly time-step"</formula>
    </cfRule>
    <cfRule type="expression" dxfId="1515" priority="1652">
      <formula>$K73="Five yearly time-step"</formula>
    </cfRule>
    <cfRule type="expression" dxfId="1514" priority="1653">
      <formula>K73="Choose option"</formula>
    </cfRule>
    <cfRule type="expression" dxfId="1513" priority="1670">
      <formula>J73="Choose option"</formula>
    </cfRule>
    <cfRule type="expression" dxfId="1512" priority="1672">
      <formula>$K73="Five yearly time-step"</formula>
    </cfRule>
    <cfRule type="expression" dxfId="1511" priority="1673">
      <formula>K73="Choose option"</formula>
    </cfRule>
    <cfRule type="expression" dxfId="1510" priority="1674">
      <formula>$K73="Five yearly time-step"</formula>
    </cfRule>
    <cfRule type="expression" dxfId="1509" priority="1651">
      <formula>K73="Choose option"</formula>
    </cfRule>
  </conditionalFormatting>
  <conditionalFormatting sqref="P73:P74">
    <cfRule type="expression" dxfId="1508" priority="1668">
      <formula>K73="Choose option"</formula>
    </cfRule>
  </conditionalFormatting>
  <conditionalFormatting sqref="P73:P75">
    <cfRule type="expression" dxfId="1507" priority="1675">
      <formula>K73="Choose option"</formula>
    </cfRule>
    <cfRule type="expression" dxfId="1506" priority="1676">
      <formula>$K73="Five yearly time-step"</formula>
    </cfRule>
  </conditionalFormatting>
  <conditionalFormatting sqref="P74">
    <cfRule type="expression" dxfId="1505" priority="1667">
      <formula>$K74="Five yearly time-step"</formula>
    </cfRule>
    <cfRule type="expression" dxfId="1504" priority="1666">
      <formula>K74="Choose option"</formula>
    </cfRule>
    <cfRule type="expression" dxfId="1503" priority="1669">
      <formula>$K74="Five yearly time-step"</formula>
    </cfRule>
  </conditionalFormatting>
  <conditionalFormatting sqref="P74:P75">
    <cfRule type="expression" dxfId="1502" priority="1662">
      <formula>K74="Choose option"</formula>
    </cfRule>
    <cfRule type="expression" dxfId="1501" priority="1663">
      <formula>$K74="Five yearly time-step"</formula>
    </cfRule>
  </conditionalFormatting>
  <conditionalFormatting sqref="P75">
    <cfRule type="expression" dxfId="1500" priority="1661">
      <formula>$K75="Five yearly time-step"</formula>
    </cfRule>
    <cfRule type="expression" dxfId="1499" priority="1660">
      <formula>K75="Choose option"</formula>
    </cfRule>
    <cfRule type="expression" dxfId="1498" priority="1658">
      <formula>K75="Choose option"</formula>
    </cfRule>
    <cfRule type="expression" dxfId="1497" priority="1659">
      <formula>$K75="Five yearly time-step"</formula>
    </cfRule>
  </conditionalFormatting>
  <conditionalFormatting sqref="P79">
    <cfRule type="expression" dxfId="1496" priority="2247">
      <formula>K79="Choose option"</formula>
    </cfRule>
    <cfRule type="expression" dxfId="1495" priority="2249">
      <formula>K79="Choose option"</formula>
    </cfRule>
    <cfRule type="expression" dxfId="1494" priority="2988">
      <formula>$K79="Five yearly time-step"</formula>
    </cfRule>
    <cfRule type="expression" dxfId="1493" priority="2246">
      <formula>$K79="Five yearly time-step"</formula>
    </cfRule>
    <cfRule type="expression" dxfId="1492" priority="2252">
      <formula>$K79="Five yearly time-step"</formula>
    </cfRule>
    <cfRule type="expression" dxfId="1491" priority="2251">
      <formula>K79="Choose option"</formula>
    </cfRule>
    <cfRule type="expression" dxfId="1490" priority="2245">
      <formula>K79="Choose option"</formula>
    </cfRule>
    <cfRule type="expression" dxfId="1489" priority="2250">
      <formula>$K79="Five yearly time-step"</formula>
    </cfRule>
    <cfRule type="expression" dxfId="1488" priority="2985">
      <formula>K79="Choose option"</formula>
    </cfRule>
    <cfRule type="expression" dxfId="1487" priority="2986">
      <formula>$K79="Five yearly time-step"</formula>
    </cfRule>
    <cfRule type="expression" dxfId="1486" priority="2987">
      <formula>K79="Choose option"</formula>
    </cfRule>
    <cfRule type="expression" dxfId="1485" priority="2989">
      <formula>K79="Choose option"</formula>
    </cfRule>
    <cfRule type="expression" dxfId="1484" priority="2990">
      <formula>$K79="Five yearly time-step"</formula>
    </cfRule>
    <cfRule type="expression" dxfId="1483" priority="2248">
      <formula>$K79="Five yearly time-step"</formula>
    </cfRule>
  </conditionalFormatting>
  <conditionalFormatting sqref="P79:P83">
    <cfRule type="expression" dxfId="1482" priority="2992">
      <formula>$K79="Five yearly time-step"</formula>
    </cfRule>
    <cfRule type="expression" dxfId="1481" priority="2991">
      <formula>K79="Choose option"</formula>
    </cfRule>
  </conditionalFormatting>
  <conditionalFormatting sqref="P80:P83">
    <cfRule type="expression" dxfId="1480" priority="3892">
      <formula>K80="Choose option"</formula>
    </cfRule>
    <cfRule type="expression" dxfId="1479" priority="3893">
      <formula>$K80="Five yearly time-step"</formula>
    </cfRule>
    <cfRule type="expression" dxfId="1478" priority="4979">
      <formula>K80="Choose option"</formula>
    </cfRule>
    <cfRule type="expression" dxfId="1477" priority="4980">
      <formula>$K80="Five yearly time-step"</formula>
    </cfRule>
    <cfRule type="expression" dxfId="1476" priority="1632">
      <formula>K80="Choose option"</formula>
    </cfRule>
    <cfRule type="expression" dxfId="1475" priority="1633">
      <formula>$K80="Five yearly time-step"</formula>
    </cfRule>
    <cfRule type="expression" dxfId="1474" priority="1640">
      <formula>K80="Choose option"</formula>
    </cfRule>
    <cfRule type="expression" dxfId="1473" priority="1642">
      <formula>K80="Choose option"</formula>
    </cfRule>
    <cfRule type="expression" dxfId="1472" priority="1643">
      <formula>$K80="Five yearly time-step"</formula>
    </cfRule>
    <cfRule type="expression" dxfId="1471" priority="1641">
      <formula>$K80="Five yearly time-step"</formula>
    </cfRule>
    <cfRule type="expression" dxfId="1470" priority="3890">
      <formula>K80="Choose option"</formula>
    </cfRule>
    <cfRule type="expression" dxfId="1469" priority="3891">
      <formula>$K80="Five yearly time-step"</formula>
    </cfRule>
  </conditionalFormatting>
  <conditionalFormatting sqref="P81">
    <cfRule type="expression" dxfId="1467" priority="1625">
      <formula>$K81="Five yearly time-step"</formula>
    </cfRule>
    <cfRule type="expression" dxfId="1466" priority="1624">
      <formula>K81="Choose option"</formula>
    </cfRule>
    <cfRule type="expression" dxfId="1465" priority="1623">
      <formula>$K81="Five yearly time-step"</formula>
    </cfRule>
    <cfRule type="expression" dxfId="1464" priority="1621">
      <formula>J81="Choose option"</formula>
    </cfRule>
    <cfRule type="expression" dxfId="1463" priority="1602">
      <formula>K81="Choose option"</formula>
    </cfRule>
    <cfRule type="expression" dxfId="1462" priority="1603">
      <formula>$K81="Five yearly time-step"</formula>
    </cfRule>
    <cfRule type="expression" dxfId="1461" priority="1604">
      <formula>K81="Choose option"</formula>
    </cfRule>
    <cfRule type="expression" dxfId="1460" priority="1605">
      <formula>$K81="Five yearly time-step"</formula>
    </cfRule>
  </conditionalFormatting>
  <conditionalFormatting sqref="P81:P82">
    <cfRule type="expression" dxfId="1459" priority="1619">
      <formula>K81="Choose option"</formula>
    </cfRule>
  </conditionalFormatting>
  <conditionalFormatting sqref="P81:P83">
    <cfRule type="expression" dxfId="1458" priority="1626">
      <formula>K81="Choose option"</formula>
    </cfRule>
    <cfRule type="expression" dxfId="1457" priority="1627">
      <formula>$K81="Five yearly time-step"</formula>
    </cfRule>
  </conditionalFormatting>
  <conditionalFormatting sqref="P82">
    <cfRule type="expression" dxfId="1456" priority="1620">
      <formula>$K82="Five yearly time-step"</formula>
    </cfRule>
    <cfRule type="expression" dxfId="1455" priority="1618">
      <formula>$K82="Five yearly time-step"</formula>
    </cfRule>
    <cfRule type="expression" dxfId="1454" priority="1617">
      <formula>K82="Choose option"</formula>
    </cfRule>
  </conditionalFormatting>
  <conditionalFormatting sqref="P82:P83">
    <cfRule type="expression" dxfId="1453" priority="1613">
      <formula>K82="Choose option"</formula>
    </cfRule>
    <cfRule type="expression" dxfId="1452" priority="1614">
      <formula>$K82="Five yearly time-step"</formula>
    </cfRule>
  </conditionalFormatting>
  <conditionalFormatting sqref="P83">
    <cfRule type="expression" dxfId="1451" priority="1609">
      <formula>K83="Choose option"</formula>
    </cfRule>
    <cfRule type="expression" dxfId="1450" priority="1610">
      <formula>$K83="Five yearly time-step"</formula>
    </cfRule>
    <cfRule type="expression" dxfId="1449" priority="1611">
      <formula>K83="Choose option"</formula>
    </cfRule>
    <cfRule type="expression" dxfId="1448" priority="1612">
      <formula>$K83="Five yearly time-step"</formula>
    </cfRule>
  </conditionalFormatting>
  <conditionalFormatting sqref="P87">
    <cfRule type="expression" dxfId="1447" priority="2236">
      <formula>K87="Choose option"</formula>
    </cfRule>
    <cfRule type="expression" dxfId="1446" priority="3001">
      <formula>K87="Choose option"</formula>
    </cfRule>
    <cfRule type="expression" dxfId="1445" priority="3002">
      <formula>$K87="Five yearly time-step"</formula>
    </cfRule>
    <cfRule type="expression" dxfId="1444" priority="3003">
      <formula>K87="Choose option"</formula>
    </cfRule>
    <cfRule type="expression" dxfId="1443" priority="3004">
      <formula>$K87="Five yearly time-step"</formula>
    </cfRule>
    <cfRule type="expression" dxfId="1442" priority="3005">
      <formula>K87="Choose option"</formula>
    </cfRule>
    <cfRule type="expression" dxfId="1441" priority="3006">
      <formula>$K87="Five yearly time-step"</formula>
    </cfRule>
    <cfRule type="expression" dxfId="1440" priority="2243">
      <formula>$K87="Five yearly time-step"</formula>
    </cfRule>
    <cfRule type="expression" dxfId="1439" priority="2242">
      <formula>K87="Choose option"</formula>
    </cfRule>
    <cfRule type="expression" dxfId="1438" priority="2241">
      <formula>$K87="Five yearly time-step"</formula>
    </cfRule>
    <cfRule type="expression" dxfId="1437" priority="2240">
      <formula>K87="Choose option"</formula>
    </cfRule>
    <cfRule type="expression" dxfId="1436" priority="2239">
      <formula>$K87="Five yearly time-step"</formula>
    </cfRule>
    <cfRule type="expression" dxfId="1435" priority="2238">
      <formula>K87="Choose option"</formula>
    </cfRule>
    <cfRule type="expression" dxfId="1434" priority="2237">
      <formula>$K87="Five yearly time-step"</formula>
    </cfRule>
  </conditionalFormatting>
  <conditionalFormatting sqref="P87:P91">
    <cfRule type="expression" dxfId="1433" priority="3008">
      <formula>$K87="Five yearly time-step"</formula>
    </cfRule>
    <cfRule type="expression" dxfId="1432" priority="3007">
      <formula>K87="Choose option"</formula>
    </cfRule>
  </conditionalFormatting>
  <conditionalFormatting sqref="P88:P91">
    <cfRule type="expression" dxfId="1431" priority="1584">
      <formula>$K88="Five yearly time-step"</formula>
    </cfRule>
    <cfRule type="expression" dxfId="1430" priority="3880">
      <formula>$K88="Five yearly time-step"</formula>
    </cfRule>
    <cfRule type="expression" dxfId="1429" priority="3879">
      <formula>K88="Choose option"</formula>
    </cfRule>
    <cfRule type="expression" dxfId="1428" priority="3878">
      <formula>$K88="Five yearly time-step"</formula>
    </cfRule>
    <cfRule type="expression" dxfId="1427" priority="3877">
      <formula>K88="Choose option"</formula>
    </cfRule>
    <cfRule type="expression" dxfId="1426" priority="4967">
      <formula>K88="Choose option"</formula>
    </cfRule>
    <cfRule type="expression" dxfId="1425" priority="1594">
      <formula>$K88="Five yearly time-step"</formula>
    </cfRule>
    <cfRule type="expression" dxfId="1424" priority="1593">
      <formula>K88="Choose option"</formula>
    </cfRule>
    <cfRule type="expression" dxfId="1423" priority="1583">
      <formula>K88="Choose option"</formula>
    </cfRule>
    <cfRule type="expression" dxfId="1422" priority="1592">
      <formula>$K88="Five yearly time-step"</formula>
    </cfRule>
    <cfRule type="expression" dxfId="1421" priority="1591">
      <formula>K88="Choose option"</formula>
    </cfRule>
    <cfRule type="expression" dxfId="1419" priority="4968">
      <formula>$K88="Five yearly time-step"</formula>
    </cfRule>
  </conditionalFormatting>
  <conditionalFormatting sqref="P89">
    <cfRule type="expression" dxfId="1418" priority="1575">
      <formula>K89="Choose option"</formula>
    </cfRule>
    <cfRule type="expression" dxfId="1417" priority="1576">
      <formula>$K89="Five yearly time-step"</formula>
    </cfRule>
    <cfRule type="expression" dxfId="1416" priority="1555">
      <formula>K89="Choose option"</formula>
    </cfRule>
    <cfRule type="expression" dxfId="1415" priority="1572">
      <formula>J89="Choose option"</formula>
    </cfRule>
    <cfRule type="expression" dxfId="1414" priority="1553">
      <formula>K89="Choose option"</formula>
    </cfRule>
    <cfRule type="expression" dxfId="1413" priority="1554">
      <formula>$K89="Five yearly time-step"</formula>
    </cfRule>
    <cfRule type="expression" dxfId="1412" priority="1574">
      <formula>$K89="Five yearly time-step"</formula>
    </cfRule>
    <cfRule type="expression" dxfId="1411" priority="1556">
      <formula>$K89="Five yearly time-step"</formula>
    </cfRule>
  </conditionalFormatting>
  <conditionalFormatting sqref="P89:P90">
    <cfRule type="expression" dxfId="1410" priority="1570">
      <formula>K89="Choose option"</formula>
    </cfRule>
  </conditionalFormatting>
  <conditionalFormatting sqref="P89:P91">
    <cfRule type="expression" dxfId="1409" priority="1578">
      <formula>$K89="Five yearly time-step"</formula>
    </cfRule>
    <cfRule type="expression" dxfId="1408" priority="1577">
      <formula>K89="Choose option"</formula>
    </cfRule>
  </conditionalFormatting>
  <conditionalFormatting sqref="P90">
    <cfRule type="expression" dxfId="1407" priority="1568">
      <formula>K90="Choose option"</formula>
    </cfRule>
    <cfRule type="expression" dxfId="1406" priority="1571">
      <formula>$K90="Five yearly time-step"</formula>
    </cfRule>
    <cfRule type="expression" dxfId="1405" priority="1569">
      <formula>$K90="Five yearly time-step"</formula>
    </cfRule>
  </conditionalFormatting>
  <conditionalFormatting sqref="P90:P91">
    <cfRule type="expression" dxfId="1404" priority="1565">
      <formula>$K90="Five yearly time-step"</formula>
    </cfRule>
    <cfRule type="expression" dxfId="1403" priority="1564">
      <formula>K90="Choose option"</formula>
    </cfRule>
  </conditionalFormatting>
  <conditionalFormatting sqref="P91">
    <cfRule type="expression" dxfId="1402" priority="1563">
      <formula>$K91="Five yearly time-step"</formula>
    </cfRule>
    <cfRule type="expression" dxfId="1401" priority="1562">
      <formula>K91="Choose option"</formula>
    </cfRule>
    <cfRule type="expression" dxfId="1400" priority="1561">
      <formula>$K91="Five yearly time-step"</formula>
    </cfRule>
    <cfRule type="expression" dxfId="1399" priority="1560">
      <formula>K91="Choose option"</formula>
    </cfRule>
  </conditionalFormatting>
  <conditionalFormatting sqref="P95">
    <cfRule type="expression" dxfId="1398" priority="3020">
      <formula>$K95="Five yearly time-step"</formula>
    </cfRule>
    <cfRule type="expression" dxfId="1397" priority="3021">
      <formula>K95="Choose option"</formula>
    </cfRule>
    <cfRule type="expression" dxfId="1396" priority="3022">
      <formula>$K95="Five yearly time-step"</formula>
    </cfRule>
    <cfRule type="expression" dxfId="1395" priority="2227">
      <formula>K95="Choose option"</formula>
    </cfRule>
    <cfRule type="expression" dxfId="1394" priority="2228">
      <formula>$K95="Five yearly time-step"</formula>
    </cfRule>
    <cfRule type="expression" dxfId="1393" priority="2229">
      <formula>K95="Choose option"</formula>
    </cfRule>
    <cfRule type="expression" dxfId="1392" priority="2230">
      <formula>$K95="Five yearly time-step"</formula>
    </cfRule>
    <cfRule type="expression" dxfId="1391" priority="2231">
      <formula>K95="Choose option"</formula>
    </cfRule>
    <cfRule type="expression" dxfId="1390" priority="2232">
      <formula>$K95="Five yearly time-step"</formula>
    </cfRule>
    <cfRule type="expression" dxfId="1389" priority="2233">
      <formula>K95="Choose option"</formula>
    </cfRule>
    <cfRule type="expression" dxfId="1388" priority="2234">
      <formula>$K95="Five yearly time-step"</formula>
    </cfRule>
    <cfRule type="expression" dxfId="1387" priority="3017">
      <formula>K95="Choose option"</formula>
    </cfRule>
    <cfRule type="expression" dxfId="1386" priority="3018">
      <formula>$K95="Five yearly time-step"</formula>
    </cfRule>
    <cfRule type="expression" dxfId="1385" priority="3019">
      <formula>K95="Choose option"</formula>
    </cfRule>
  </conditionalFormatting>
  <conditionalFormatting sqref="P95:P99">
    <cfRule type="expression" dxfId="1384" priority="3023">
      <formula>K95="Choose option"</formula>
    </cfRule>
    <cfRule type="expression" dxfId="1383" priority="3024">
      <formula>$K95="Five yearly time-step"</formula>
    </cfRule>
  </conditionalFormatting>
  <conditionalFormatting sqref="P96:P99">
    <cfRule type="expression" dxfId="1382" priority="3865">
      <formula>$K96="Five yearly time-step"</formula>
    </cfRule>
    <cfRule type="expression" dxfId="1381" priority="1543">
      <formula>$K96="Five yearly time-step"</formula>
    </cfRule>
    <cfRule type="expression" dxfId="1380" priority="1542">
      <formula>K96="Choose option"</formula>
    </cfRule>
    <cfRule type="expression" dxfId="1379" priority="1545">
      <formula>$K96="Five yearly time-step"</formula>
    </cfRule>
    <cfRule type="expression" dxfId="1378" priority="1544">
      <formula>K96="Choose option"</formula>
    </cfRule>
    <cfRule type="expression" dxfId="1377" priority="4956">
      <formula>$K96="Five yearly time-step"</formula>
    </cfRule>
    <cfRule type="expression" dxfId="1376" priority="4955">
      <formula>K96="Choose option"</formula>
    </cfRule>
    <cfRule type="expression" dxfId="1374" priority="1534">
      <formula>K96="Choose option"</formula>
    </cfRule>
    <cfRule type="expression" dxfId="1373" priority="3867">
      <formula>$K96="Five yearly time-step"</formula>
    </cfRule>
    <cfRule type="expression" dxfId="1372" priority="3866">
      <formula>K96="Choose option"</formula>
    </cfRule>
    <cfRule type="expression" dxfId="1371" priority="1535">
      <formula>$K96="Five yearly time-step"</formula>
    </cfRule>
    <cfRule type="expression" dxfId="1370" priority="3864">
      <formula>K96="Choose option"</formula>
    </cfRule>
  </conditionalFormatting>
  <conditionalFormatting sqref="P97">
    <cfRule type="expression" dxfId="1369" priority="1526">
      <formula>K97="Choose option"</formula>
    </cfRule>
    <cfRule type="expression" dxfId="1368" priority="1527">
      <formula>$K97="Five yearly time-step"</formula>
    </cfRule>
    <cfRule type="expression" dxfId="1367" priority="1507">
      <formula>$K97="Five yearly time-step"</formula>
    </cfRule>
    <cfRule type="expression" dxfId="1366" priority="1506">
      <formula>K97="Choose option"</formula>
    </cfRule>
    <cfRule type="expression" dxfId="1365" priority="1525">
      <formula>$K97="Five yearly time-step"</formula>
    </cfRule>
    <cfRule type="expression" dxfId="1364" priority="1505">
      <formula>$K97="Five yearly time-step"</formula>
    </cfRule>
    <cfRule type="expression" dxfId="1363" priority="1504">
      <formula>K97="Choose option"</formula>
    </cfRule>
    <cfRule type="expression" dxfId="1362" priority="1523">
      <formula>J97="Choose option"</formula>
    </cfRule>
  </conditionalFormatting>
  <conditionalFormatting sqref="P97:P98">
    <cfRule type="expression" dxfId="1361" priority="1521">
      <formula>K97="Choose option"</formula>
    </cfRule>
  </conditionalFormatting>
  <conditionalFormatting sqref="P97:P99">
    <cfRule type="expression" dxfId="1360" priority="1529">
      <formula>$K97="Five yearly time-step"</formula>
    </cfRule>
    <cfRule type="expression" dxfId="1359" priority="1528">
      <formula>K97="Choose option"</formula>
    </cfRule>
  </conditionalFormatting>
  <conditionalFormatting sqref="P98">
    <cfRule type="expression" dxfId="1358" priority="1519">
      <formula>K98="Choose option"</formula>
    </cfRule>
    <cfRule type="expression" dxfId="1357" priority="1522">
      <formula>$K98="Five yearly time-step"</formula>
    </cfRule>
    <cfRule type="expression" dxfId="1356" priority="1520">
      <formula>$K98="Five yearly time-step"</formula>
    </cfRule>
  </conditionalFormatting>
  <conditionalFormatting sqref="P98:P99">
    <cfRule type="expression" dxfId="1355" priority="1516">
      <formula>$K98="Five yearly time-step"</formula>
    </cfRule>
    <cfRule type="expression" dxfId="1354" priority="1515">
      <formula>K98="Choose option"</formula>
    </cfRule>
  </conditionalFormatting>
  <conditionalFormatting sqref="P99">
    <cfRule type="expression" dxfId="1353" priority="1514">
      <formula>$K99="Five yearly time-step"</formula>
    </cfRule>
    <cfRule type="expression" dxfId="1352" priority="1513">
      <formula>K99="Choose option"</formula>
    </cfRule>
    <cfRule type="expression" dxfId="1351" priority="1512">
      <formula>$K99="Five yearly time-step"</formula>
    </cfRule>
    <cfRule type="expression" dxfId="1350" priority="1511">
      <formula>K99="Choose option"</formula>
    </cfRule>
  </conditionalFormatting>
  <conditionalFormatting sqref="P103">
    <cfRule type="expression" dxfId="1349" priority="3037">
      <formula>K103="Choose option"</formula>
    </cfRule>
    <cfRule type="expression" dxfId="1348" priority="3036">
      <formula>$K103="Five yearly time-step"</formula>
    </cfRule>
    <cfRule type="expression" dxfId="1347" priority="3035">
      <formula>K103="Choose option"</formula>
    </cfRule>
    <cfRule type="expression" dxfId="1346" priority="3034">
      <formula>$K103="Five yearly time-step"</formula>
    </cfRule>
    <cfRule type="expression" dxfId="1345" priority="3033">
      <formula>K103="Choose option"</formula>
    </cfRule>
    <cfRule type="expression" dxfId="1344" priority="2223">
      <formula>$K103="Five yearly time-step"</formula>
    </cfRule>
    <cfRule type="expression" dxfId="1343" priority="2218">
      <formula>K103="Choose option"</formula>
    </cfRule>
    <cfRule type="expression" dxfId="1342" priority="2220">
      <formula>K103="Choose option"</formula>
    </cfRule>
    <cfRule type="expression" dxfId="1341" priority="2221">
      <formula>$K103="Five yearly time-step"</formula>
    </cfRule>
    <cfRule type="expression" dxfId="1340" priority="2222">
      <formula>K103="Choose option"</formula>
    </cfRule>
    <cfRule type="expression" dxfId="1339" priority="2224">
      <formula>K103="Choose option"</formula>
    </cfRule>
    <cfRule type="expression" dxfId="1338" priority="2225">
      <formula>$K103="Five yearly time-step"</formula>
    </cfRule>
    <cfRule type="expression" dxfId="1337" priority="3038">
      <formula>$K103="Five yearly time-step"</formula>
    </cfRule>
    <cfRule type="expression" dxfId="1336" priority="2219">
      <formula>$K103="Five yearly time-step"</formula>
    </cfRule>
  </conditionalFormatting>
  <conditionalFormatting sqref="P103:P107">
    <cfRule type="expression" dxfId="1335" priority="3039">
      <formula>K103="Choose option"</formula>
    </cfRule>
    <cfRule type="expression" dxfId="1334" priority="3040">
      <formula>$K103="Five yearly time-step"</formula>
    </cfRule>
  </conditionalFormatting>
  <conditionalFormatting sqref="P104:P107">
    <cfRule type="expression" dxfId="1333" priority="3852">
      <formula>$K104="Five yearly time-step"</formula>
    </cfRule>
    <cfRule type="expression" dxfId="1332" priority="4944">
      <formula>$K104="Five yearly time-step"</formula>
    </cfRule>
    <cfRule type="expression" dxfId="1331" priority="4943">
      <formula>K104="Choose option"</formula>
    </cfRule>
    <cfRule type="expression" dxfId="1330" priority="1486">
      <formula>$K104="Five yearly time-step"</formula>
    </cfRule>
    <cfRule type="expression" dxfId="1329" priority="1485">
      <formula>K104="Choose option"</formula>
    </cfRule>
    <cfRule type="expression" dxfId="1328" priority="3853">
      <formula>K104="Choose option"</formula>
    </cfRule>
    <cfRule type="expression" dxfId="1327" priority="1494">
      <formula>$K104="Five yearly time-step"</formula>
    </cfRule>
    <cfRule type="expression" dxfId="1326" priority="3854">
      <formula>$K104="Five yearly time-step"</formula>
    </cfRule>
    <cfRule type="expression" dxfId="1324" priority="1493">
      <formula>K104="Choose option"</formula>
    </cfRule>
    <cfRule type="expression" dxfId="1323" priority="1495">
      <formula>K104="Choose option"</formula>
    </cfRule>
    <cfRule type="expression" dxfId="1322" priority="1496">
      <formula>$K104="Five yearly time-step"</formula>
    </cfRule>
    <cfRule type="expression" dxfId="1321" priority="3851">
      <formula>K104="Choose option"</formula>
    </cfRule>
  </conditionalFormatting>
  <conditionalFormatting sqref="P105">
    <cfRule type="expression" dxfId="1320" priority="1478">
      <formula>$K105="Five yearly time-step"</formula>
    </cfRule>
    <cfRule type="expression" dxfId="1319" priority="1476">
      <formula>$K105="Five yearly time-step"</formula>
    </cfRule>
    <cfRule type="expression" dxfId="1318" priority="1474">
      <formula>J105="Choose option"</formula>
    </cfRule>
    <cfRule type="expression" dxfId="1317" priority="1455">
      <formula>K105="Choose option"</formula>
    </cfRule>
    <cfRule type="expression" dxfId="1316" priority="1456">
      <formula>$K105="Five yearly time-step"</formula>
    </cfRule>
    <cfRule type="expression" dxfId="1315" priority="1457">
      <formula>K105="Choose option"</formula>
    </cfRule>
    <cfRule type="expression" dxfId="1314" priority="1458">
      <formula>$K105="Five yearly time-step"</formula>
    </cfRule>
    <cfRule type="expression" dxfId="1313" priority="1477">
      <formula>K105="Choose option"</formula>
    </cfRule>
  </conditionalFormatting>
  <conditionalFormatting sqref="P105:P106">
    <cfRule type="expression" dxfId="1312" priority="1472">
      <formula>K105="Choose option"</formula>
    </cfRule>
  </conditionalFormatting>
  <conditionalFormatting sqref="P105:P107">
    <cfRule type="expression" dxfId="1311" priority="1480">
      <formula>$K105="Five yearly time-step"</formula>
    </cfRule>
    <cfRule type="expression" dxfId="1310" priority="1479">
      <formula>K105="Choose option"</formula>
    </cfRule>
  </conditionalFormatting>
  <conditionalFormatting sqref="P106">
    <cfRule type="expression" dxfId="1309" priority="1471">
      <formula>$K106="Five yearly time-step"</formula>
    </cfRule>
    <cfRule type="expression" dxfId="1308" priority="1470">
      <formula>K106="Choose option"</formula>
    </cfRule>
    <cfRule type="expression" dxfId="1307" priority="1473">
      <formula>$K106="Five yearly time-step"</formula>
    </cfRule>
  </conditionalFormatting>
  <conditionalFormatting sqref="P106:P107">
    <cfRule type="expression" dxfId="1306" priority="1466">
      <formula>K106="Choose option"</formula>
    </cfRule>
    <cfRule type="expression" dxfId="1305" priority="1467">
      <formula>$K106="Five yearly time-step"</formula>
    </cfRule>
  </conditionalFormatting>
  <conditionalFormatting sqref="P107">
    <cfRule type="expression" dxfId="1304" priority="1463">
      <formula>$K107="Five yearly time-step"</formula>
    </cfRule>
    <cfRule type="expression" dxfId="1303" priority="1464">
      <formula>K107="Choose option"</formula>
    </cfRule>
    <cfRule type="expression" dxfId="1302" priority="1465">
      <formula>$K107="Five yearly time-step"</formula>
    </cfRule>
    <cfRule type="expression" dxfId="1301" priority="1462">
      <formula>K107="Choose option"</formula>
    </cfRule>
  </conditionalFormatting>
  <conditionalFormatting sqref="P111">
    <cfRule type="expression" dxfId="1300" priority="3051">
      <formula>K111="Choose option"</formula>
    </cfRule>
    <cfRule type="expression" dxfId="1299" priority="3049">
      <formula>K111="Choose option"</formula>
    </cfRule>
    <cfRule type="expression" dxfId="1298" priority="2216">
      <formula>$K111="Five yearly time-step"</formula>
    </cfRule>
    <cfRule type="expression" dxfId="1297" priority="2215">
      <formula>K111="Choose option"</formula>
    </cfRule>
    <cfRule type="expression" dxfId="1296" priority="3053">
      <formula>K111="Choose option"</formula>
    </cfRule>
    <cfRule type="expression" dxfId="1295" priority="2214">
      <formula>$K111="Five yearly time-step"</formula>
    </cfRule>
    <cfRule type="expression" dxfId="1294" priority="2209">
      <formula>K111="Choose option"</formula>
    </cfRule>
    <cfRule type="expression" dxfId="1293" priority="2210">
      <formula>$K111="Five yearly time-step"</formula>
    </cfRule>
    <cfRule type="expression" dxfId="1292" priority="3054">
      <formula>$K111="Five yearly time-step"</formula>
    </cfRule>
    <cfRule type="expression" dxfId="1291" priority="3052">
      <formula>$K111="Five yearly time-step"</formula>
    </cfRule>
    <cfRule type="expression" dxfId="1290" priority="2213">
      <formula>K111="Choose option"</formula>
    </cfRule>
    <cfRule type="expression" dxfId="1289" priority="2212">
      <formula>$K111="Five yearly time-step"</formula>
    </cfRule>
    <cfRule type="expression" dxfId="1288" priority="3050">
      <formula>$K111="Five yearly time-step"</formula>
    </cfRule>
    <cfRule type="expression" dxfId="1287" priority="2211">
      <formula>K111="Choose option"</formula>
    </cfRule>
  </conditionalFormatting>
  <conditionalFormatting sqref="P111:P115">
    <cfRule type="expression" dxfId="1286" priority="3055">
      <formula>K111="Choose option"</formula>
    </cfRule>
    <cfRule type="expression" dxfId="1285" priority="3056">
      <formula>$K111="Five yearly time-step"</formula>
    </cfRule>
  </conditionalFormatting>
  <conditionalFormatting sqref="P112:P115">
    <cfRule type="expression" dxfId="1284" priority="1444">
      <formula>K112="Choose option"</formula>
    </cfRule>
    <cfRule type="expression" dxfId="1283" priority="4931">
      <formula>K112="Choose option"</formula>
    </cfRule>
    <cfRule type="expression" dxfId="1282" priority="4932">
      <formula>$K112="Five yearly time-step"</formula>
    </cfRule>
    <cfRule type="expression" dxfId="1281" priority="1447">
      <formula>$K112="Five yearly time-step"</formula>
    </cfRule>
    <cfRule type="expression" dxfId="1279" priority="3839">
      <formula>$K112="Five yearly time-step"</formula>
    </cfRule>
    <cfRule type="expression" dxfId="1278" priority="3840">
      <formula>K112="Choose option"</formula>
    </cfRule>
    <cfRule type="expression" dxfId="1277" priority="3841">
      <formula>$K112="Five yearly time-step"</formula>
    </cfRule>
    <cfRule type="expression" dxfId="1276" priority="1446">
      <formula>K112="Choose option"</formula>
    </cfRule>
    <cfRule type="expression" dxfId="1275" priority="1445">
      <formula>$K112="Five yearly time-step"</formula>
    </cfRule>
    <cfRule type="expression" dxfId="1274" priority="1437">
      <formula>$K112="Five yearly time-step"</formula>
    </cfRule>
    <cfRule type="expression" dxfId="1273" priority="1436">
      <formula>K112="Choose option"</formula>
    </cfRule>
    <cfRule type="expression" dxfId="1272" priority="3838">
      <formula>K112="Choose option"</formula>
    </cfRule>
  </conditionalFormatting>
  <conditionalFormatting sqref="P113">
    <cfRule type="expression" dxfId="1271" priority="1427">
      <formula>$K113="Five yearly time-step"</formula>
    </cfRule>
    <cfRule type="expression" dxfId="1270" priority="1428">
      <formula>K113="Choose option"</formula>
    </cfRule>
    <cfRule type="expression" dxfId="1269" priority="1429">
      <formula>$K113="Five yearly time-step"</formula>
    </cfRule>
    <cfRule type="expression" dxfId="1268" priority="1406">
      <formula>K113="Choose option"</formula>
    </cfRule>
    <cfRule type="expression" dxfId="1267" priority="1407">
      <formula>$K113="Five yearly time-step"</formula>
    </cfRule>
    <cfRule type="expression" dxfId="1266" priority="1408">
      <formula>K113="Choose option"</formula>
    </cfRule>
    <cfRule type="expression" dxfId="1265" priority="1409">
      <formula>$K113="Five yearly time-step"</formula>
    </cfRule>
    <cfRule type="expression" dxfId="1264" priority="1425">
      <formula>J113="Choose option"</formula>
    </cfRule>
  </conditionalFormatting>
  <conditionalFormatting sqref="P113:P114">
    <cfRule type="expression" dxfId="1263" priority="1423">
      <formula>K113="Choose option"</formula>
    </cfRule>
  </conditionalFormatting>
  <conditionalFormatting sqref="P113:P115">
    <cfRule type="expression" dxfId="1262" priority="1431">
      <formula>$K113="Five yearly time-step"</formula>
    </cfRule>
    <cfRule type="expression" dxfId="1261" priority="1430">
      <formula>K113="Choose option"</formula>
    </cfRule>
  </conditionalFormatting>
  <conditionalFormatting sqref="P114">
    <cfRule type="expression" dxfId="1260" priority="1421">
      <formula>K114="Choose option"</formula>
    </cfRule>
    <cfRule type="expression" dxfId="1259" priority="1424">
      <formula>$K114="Five yearly time-step"</formula>
    </cfRule>
    <cfRule type="expression" dxfId="1258" priority="1422">
      <formula>$K114="Five yearly time-step"</formula>
    </cfRule>
  </conditionalFormatting>
  <conditionalFormatting sqref="P114:P115">
    <cfRule type="expression" dxfId="1257" priority="1418">
      <formula>$K114="Five yearly time-step"</formula>
    </cfRule>
    <cfRule type="expression" dxfId="1256" priority="1417">
      <formula>K114="Choose option"</formula>
    </cfRule>
  </conditionalFormatting>
  <conditionalFormatting sqref="P115">
    <cfRule type="expression" dxfId="1255" priority="1416">
      <formula>$K115="Five yearly time-step"</formula>
    </cfRule>
    <cfRule type="expression" dxfId="1254" priority="1415">
      <formula>K115="Choose option"</formula>
    </cfRule>
    <cfRule type="expression" dxfId="1253" priority="1414">
      <formula>$K115="Five yearly time-step"</formula>
    </cfRule>
    <cfRule type="expression" dxfId="1252" priority="1413">
      <formula>K115="Choose option"</formula>
    </cfRule>
  </conditionalFormatting>
  <conditionalFormatting sqref="P119">
    <cfRule type="expression" dxfId="1251" priority="2202">
      <formula>K119="Choose option"</formula>
    </cfRule>
    <cfRule type="expression" dxfId="1250" priority="2207">
      <formula>$K119="Five yearly time-step"</formula>
    </cfRule>
    <cfRule type="expression" dxfId="1249" priority="2206">
      <formula>K119="Choose option"</formula>
    </cfRule>
    <cfRule type="expression" dxfId="1248" priority="2205">
      <formula>$K119="Five yearly time-step"</formula>
    </cfRule>
    <cfRule type="expression" dxfId="1247" priority="2204">
      <formula>K119="Choose option"</formula>
    </cfRule>
    <cfRule type="expression" dxfId="1246" priority="2203">
      <formula>$K119="Five yearly time-step"</formula>
    </cfRule>
    <cfRule type="expression" dxfId="1245" priority="2201">
      <formula>$K119="Five yearly time-step"</formula>
    </cfRule>
    <cfRule type="expression" dxfId="1244" priority="3065">
      <formula>K119="Choose option"</formula>
    </cfRule>
    <cfRule type="expression" dxfId="1243" priority="2200">
      <formula>K119="Choose option"</formula>
    </cfRule>
    <cfRule type="expression" dxfId="1242" priority="3066">
      <formula>$K119="Five yearly time-step"</formula>
    </cfRule>
    <cfRule type="expression" dxfId="1241" priority="3067">
      <formula>K119="Choose option"</formula>
    </cfRule>
    <cfRule type="expression" dxfId="1240" priority="3068">
      <formula>$K119="Five yearly time-step"</formula>
    </cfRule>
    <cfRule type="expression" dxfId="1239" priority="3069">
      <formula>K119="Choose option"</formula>
    </cfRule>
    <cfRule type="expression" dxfId="1238" priority="3070">
      <formula>$K119="Five yearly time-step"</formula>
    </cfRule>
  </conditionalFormatting>
  <conditionalFormatting sqref="P119:P123">
    <cfRule type="expression" dxfId="1237" priority="3072">
      <formula>$K119="Five yearly time-step"</formula>
    </cfRule>
    <cfRule type="expression" dxfId="1236" priority="3071">
      <formula>K119="Choose option"</formula>
    </cfRule>
  </conditionalFormatting>
  <conditionalFormatting sqref="P120:P123">
    <cfRule type="expression" dxfId="1235" priority="3828">
      <formula>$K120="Five yearly time-step"</formula>
    </cfRule>
    <cfRule type="expression" dxfId="1233" priority="1395">
      <formula>K120="Choose option"</formula>
    </cfRule>
    <cfRule type="expression" dxfId="1232" priority="4920">
      <formula>$K120="Five yearly time-step"</formula>
    </cfRule>
    <cfRule type="expression" dxfId="1231" priority="3827">
      <formula>K120="Choose option"</formula>
    </cfRule>
    <cfRule type="expression" dxfId="1230" priority="3826">
      <formula>$K120="Five yearly time-step"</formula>
    </cfRule>
    <cfRule type="expression" dxfId="1229" priority="3825">
      <formula>K120="Choose option"</formula>
    </cfRule>
    <cfRule type="expression" dxfId="1228" priority="1398">
      <formula>$K120="Five yearly time-step"</formula>
    </cfRule>
    <cfRule type="expression" dxfId="1227" priority="1397">
      <formula>K120="Choose option"</formula>
    </cfRule>
    <cfRule type="expression" dxfId="1226" priority="1396">
      <formula>$K120="Five yearly time-step"</formula>
    </cfRule>
    <cfRule type="expression" dxfId="1225" priority="4919">
      <formula>K120="Choose option"</formula>
    </cfRule>
    <cfRule type="expression" dxfId="1224" priority="1387">
      <formula>K120="Choose option"</formula>
    </cfRule>
    <cfRule type="expression" dxfId="1223" priority="1388">
      <formula>$K120="Five yearly time-step"</formula>
    </cfRule>
  </conditionalFormatting>
  <conditionalFormatting sqref="P121">
    <cfRule type="expression" dxfId="1222" priority="1376">
      <formula>J121="Choose option"</formula>
    </cfRule>
    <cfRule type="expression" dxfId="1221" priority="1357">
      <formula>K121="Choose option"</formula>
    </cfRule>
    <cfRule type="expression" dxfId="1220" priority="1358">
      <formula>$K121="Five yearly time-step"</formula>
    </cfRule>
    <cfRule type="expression" dxfId="1219" priority="1359">
      <formula>K121="Choose option"</formula>
    </cfRule>
    <cfRule type="expression" dxfId="1218" priority="1360">
      <formula>$K121="Five yearly time-step"</formula>
    </cfRule>
    <cfRule type="expression" dxfId="1217" priority="1378">
      <formula>$K121="Five yearly time-step"</formula>
    </cfRule>
    <cfRule type="expression" dxfId="1216" priority="1379">
      <formula>K121="Choose option"</formula>
    </cfRule>
    <cfRule type="expression" dxfId="1215" priority="1380">
      <formula>$K121="Five yearly time-step"</formula>
    </cfRule>
  </conditionalFormatting>
  <conditionalFormatting sqref="P121:P122">
    <cfRule type="expression" dxfId="1214" priority="1374">
      <formula>K121="Choose option"</formula>
    </cfRule>
  </conditionalFormatting>
  <conditionalFormatting sqref="P121:P123">
    <cfRule type="expression" dxfId="1213" priority="1381">
      <formula>K121="Choose option"</formula>
    </cfRule>
    <cfRule type="expression" dxfId="1212" priority="1382">
      <formula>$K121="Five yearly time-step"</formula>
    </cfRule>
  </conditionalFormatting>
  <conditionalFormatting sqref="P122">
    <cfRule type="expression" dxfId="1211" priority="1375">
      <formula>$K122="Five yearly time-step"</formula>
    </cfRule>
    <cfRule type="expression" dxfId="1210" priority="1372">
      <formula>K122="Choose option"</formula>
    </cfRule>
    <cfRule type="expression" dxfId="1209" priority="1373">
      <formula>$K122="Five yearly time-step"</formula>
    </cfRule>
  </conditionalFormatting>
  <conditionalFormatting sqref="P122:P123">
    <cfRule type="expression" dxfId="1208" priority="1368">
      <formula>K122="Choose option"</formula>
    </cfRule>
    <cfRule type="expression" dxfId="1207" priority="1369">
      <formula>$K122="Five yearly time-step"</formula>
    </cfRule>
  </conditionalFormatting>
  <conditionalFormatting sqref="P123">
    <cfRule type="expression" dxfId="1206" priority="1366">
      <formula>K123="Choose option"</formula>
    </cfRule>
    <cfRule type="expression" dxfId="1205" priority="1364">
      <formula>K123="Choose option"</formula>
    </cfRule>
    <cfRule type="expression" dxfId="1204" priority="1365">
      <formula>$K123="Five yearly time-step"</formula>
    </cfRule>
    <cfRule type="expression" dxfId="1203" priority="1367">
      <formula>$K123="Five yearly time-step"</formula>
    </cfRule>
  </conditionalFormatting>
  <conditionalFormatting sqref="P127">
    <cfRule type="expression" dxfId="1202" priority="3082">
      <formula>$K127="Five yearly time-step"</formula>
    </cfRule>
    <cfRule type="expression" dxfId="1201" priority="3083">
      <formula>K127="Choose option"</formula>
    </cfRule>
    <cfRule type="expression" dxfId="1200" priority="3086">
      <formula>$K127="Five yearly time-step"</formula>
    </cfRule>
    <cfRule type="expression" dxfId="1199" priority="3085">
      <formula>K127="Choose option"</formula>
    </cfRule>
    <cfRule type="expression" dxfId="1198" priority="3084">
      <formula>$K127="Five yearly time-step"</formula>
    </cfRule>
    <cfRule type="expression" dxfId="1197" priority="3081">
      <formula>K127="Choose option"</formula>
    </cfRule>
    <cfRule type="expression" dxfId="1196" priority="2192">
      <formula>$K127="Five yearly time-step"</formula>
    </cfRule>
    <cfRule type="expression" dxfId="1195" priority="2193">
      <formula>K127="Choose option"</formula>
    </cfRule>
    <cfRule type="expression" dxfId="1194" priority="2194">
      <formula>$K127="Five yearly time-step"</formula>
    </cfRule>
    <cfRule type="expression" dxfId="1193" priority="2195">
      <formula>K127="Choose option"</formula>
    </cfRule>
    <cfRule type="expression" dxfId="1192" priority="2196">
      <formula>$K127="Five yearly time-step"</formula>
    </cfRule>
    <cfRule type="expression" dxfId="1191" priority="2197">
      <formula>K127="Choose option"</formula>
    </cfRule>
    <cfRule type="expression" dxfId="1190" priority="2198">
      <formula>$K127="Five yearly time-step"</formula>
    </cfRule>
    <cfRule type="expression" dxfId="1189" priority="2191">
      <formula>K127="Choose option"</formula>
    </cfRule>
  </conditionalFormatting>
  <conditionalFormatting sqref="P127:P131">
    <cfRule type="expression" dxfId="1188" priority="3088">
      <formula>$K127="Five yearly time-step"</formula>
    </cfRule>
    <cfRule type="expression" dxfId="1187" priority="3087">
      <formula>K127="Choose option"</formula>
    </cfRule>
  </conditionalFormatting>
  <conditionalFormatting sqref="P128:P131">
    <cfRule type="expression" dxfId="1186" priority="3812">
      <formula>K128="Choose option"</formula>
    </cfRule>
    <cfRule type="expression" dxfId="1185" priority="3813">
      <formula>$K128="Five yearly time-step"</formula>
    </cfRule>
    <cfRule type="expression" dxfId="1184" priority="3814">
      <formula>K128="Choose option"</formula>
    </cfRule>
    <cfRule type="expression" dxfId="1183" priority="3815">
      <formula>$K128="Five yearly time-step"</formula>
    </cfRule>
    <cfRule type="expression" dxfId="1181" priority="4907">
      <formula>K128="Choose option"</formula>
    </cfRule>
    <cfRule type="expression" dxfId="1180" priority="4908">
      <formula>$K128="Five yearly time-step"</formula>
    </cfRule>
    <cfRule type="expression" dxfId="1179" priority="1349">
      <formula>$K128="Five yearly time-step"</formula>
    </cfRule>
    <cfRule type="expression" dxfId="1178" priority="1347">
      <formula>$K128="Five yearly time-step"</formula>
    </cfRule>
    <cfRule type="expression" dxfId="1177" priority="1346">
      <formula>K128="Choose option"</formula>
    </cfRule>
    <cfRule type="expression" dxfId="1176" priority="1339">
      <formula>$K128="Five yearly time-step"</formula>
    </cfRule>
    <cfRule type="expression" dxfId="1175" priority="1338">
      <formula>K128="Choose option"</formula>
    </cfRule>
    <cfRule type="expression" dxfId="1174" priority="1348">
      <formula>K128="Choose option"</formula>
    </cfRule>
  </conditionalFormatting>
  <conditionalFormatting sqref="P129">
    <cfRule type="expression" dxfId="1173" priority="1310">
      <formula>K129="Choose option"</formula>
    </cfRule>
    <cfRule type="expression" dxfId="1172" priority="1309">
      <formula>$K129="Five yearly time-step"</formula>
    </cfRule>
    <cfRule type="expression" dxfId="1171" priority="1308">
      <formula>K129="Choose option"</formula>
    </cfRule>
    <cfRule type="expression" dxfId="1170" priority="1327">
      <formula>J129="Choose option"</formula>
    </cfRule>
    <cfRule type="expression" dxfId="1169" priority="1329">
      <formula>$K129="Five yearly time-step"</formula>
    </cfRule>
    <cfRule type="expression" dxfId="1168" priority="1330">
      <formula>K129="Choose option"</formula>
    </cfRule>
    <cfRule type="expression" dxfId="1167" priority="1331">
      <formula>$K129="Five yearly time-step"</formula>
    </cfRule>
    <cfRule type="expression" dxfId="1166" priority="1311">
      <formula>$K129="Five yearly time-step"</formula>
    </cfRule>
  </conditionalFormatting>
  <conditionalFormatting sqref="P129:P130">
    <cfRule type="expression" dxfId="1165" priority="1325">
      <formula>K129="Choose option"</formula>
    </cfRule>
  </conditionalFormatting>
  <conditionalFormatting sqref="P129:P131">
    <cfRule type="expression" dxfId="1164" priority="1332">
      <formula>K129="Choose option"</formula>
    </cfRule>
    <cfRule type="expression" dxfId="1163" priority="1333">
      <formula>$K129="Five yearly time-step"</formula>
    </cfRule>
  </conditionalFormatting>
  <conditionalFormatting sqref="P130">
    <cfRule type="expression" dxfId="1162" priority="1323">
      <formula>K130="Choose option"</formula>
    </cfRule>
    <cfRule type="expression" dxfId="1161" priority="1324">
      <formula>$K130="Five yearly time-step"</formula>
    </cfRule>
    <cfRule type="expression" dxfId="1160" priority="1326">
      <formula>$K130="Five yearly time-step"</formula>
    </cfRule>
  </conditionalFormatting>
  <conditionalFormatting sqref="P130:P131">
    <cfRule type="expression" dxfId="1159" priority="1319">
      <formula>K130="Choose option"</formula>
    </cfRule>
    <cfRule type="expression" dxfId="1158" priority="1320">
      <formula>$K130="Five yearly time-step"</formula>
    </cfRule>
  </conditionalFormatting>
  <conditionalFormatting sqref="P131">
    <cfRule type="expression" dxfId="1157" priority="1318">
      <formula>$K131="Five yearly time-step"</formula>
    </cfRule>
    <cfRule type="expression" dxfId="1156" priority="1317">
      <formula>K131="Choose option"</formula>
    </cfRule>
    <cfRule type="expression" dxfId="1155" priority="1316">
      <formula>$K131="Five yearly time-step"</formula>
    </cfRule>
    <cfRule type="expression" dxfId="1154" priority="1315">
      <formula>K131="Choose option"</formula>
    </cfRule>
  </conditionalFormatting>
  <conditionalFormatting sqref="P135">
    <cfRule type="expression" dxfId="1153" priority="2186">
      <formula>K135="Choose option"</formula>
    </cfRule>
    <cfRule type="expression" dxfId="1152" priority="2187">
      <formula>$K135="Five yearly time-step"</formula>
    </cfRule>
    <cfRule type="expression" dxfId="1151" priority="2188">
      <formula>K135="Choose option"</formula>
    </cfRule>
    <cfRule type="expression" dxfId="1150" priority="2189">
      <formula>$K135="Five yearly time-step"</formula>
    </cfRule>
    <cfRule type="expression" dxfId="1149" priority="3163">
      <formula>K135="Choose option"</formula>
    </cfRule>
    <cfRule type="expression" dxfId="1148" priority="3164">
      <formula>$K135="Five yearly time-step"</formula>
    </cfRule>
    <cfRule type="expression" dxfId="1147" priority="3162">
      <formula>$K135="Five yearly time-step"</formula>
    </cfRule>
    <cfRule type="expression" dxfId="1146" priority="3161">
      <formula>K135="Choose option"</formula>
    </cfRule>
    <cfRule type="expression" dxfId="1145" priority="3160">
      <formula>$K135="Five yearly time-step"</formula>
    </cfRule>
    <cfRule type="expression" dxfId="1144" priority="3159">
      <formula>K135="Choose option"</formula>
    </cfRule>
    <cfRule type="expression" dxfId="1143" priority="2182">
      <formula>K135="Choose option"</formula>
    </cfRule>
    <cfRule type="expression" dxfId="1142" priority="2183">
      <formula>$K135="Five yearly time-step"</formula>
    </cfRule>
    <cfRule type="expression" dxfId="1141" priority="2184">
      <formula>K135="Choose option"</formula>
    </cfRule>
    <cfRule type="expression" dxfId="1140" priority="2185">
      <formula>$K135="Five yearly time-step"</formula>
    </cfRule>
  </conditionalFormatting>
  <conditionalFormatting sqref="P135:P139">
    <cfRule type="expression" dxfId="1139" priority="3166">
      <formula>$K135="Five yearly time-step"</formula>
    </cfRule>
    <cfRule type="expression" dxfId="1138" priority="3165">
      <formula>K135="Choose option"</formula>
    </cfRule>
  </conditionalFormatting>
  <conditionalFormatting sqref="P136:P139">
    <cfRule type="expression" dxfId="1137" priority="3800">
      <formula>$K136="Five yearly time-step"</formula>
    </cfRule>
    <cfRule type="expression" dxfId="1136" priority="3799">
      <formula>K136="Choose option"</formula>
    </cfRule>
    <cfRule type="expression" dxfId="1134" priority="4896">
      <formula>$K136="Five yearly time-step"</formula>
    </cfRule>
    <cfRule type="expression" dxfId="1133" priority="4895">
      <formula>K136="Choose option"</formula>
    </cfRule>
    <cfRule type="expression" dxfId="1132" priority="1289">
      <formula>K136="Choose option"</formula>
    </cfRule>
    <cfRule type="expression" dxfId="1131" priority="1290">
      <formula>$K136="Five yearly time-step"</formula>
    </cfRule>
    <cfRule type="expression" dxfId="1130" priority="1297">
      <formula>K136="Choose option"</formula>
    </cfRule>
    <cfRule type="expression" dxfId="1129" priority="1298">
      <formula>$K136="Five yearly time-step"</formula>
    </cfRule>
    <cfRule type="expression" dxfId="1128" priority="1299">
      <formula>K136="Choose option"</formula>
    </cfRule>
    <cfRule type="expression" dxfId="1127" priority="1300">
      <formula>$K136="Five yearly time-step"</formula>
    </cfRule>
    <cfRule type="expression" dxfId="1126" priority="3802">
      <formula>$K136="Five yearly time-step"</formula>
    </cfRule>
    <cfRule type="expression" dxfId="1125" priority="3801">
      <formula>K136="Choose option"</formula>
    </cfRule>
  </conditionalFormatting>
  <conditionalFormatting sqref="P137">
    <cfRule type="expression" dxfId="1124" priority="1278">
      <formula>J137="Choose option"</formula>
    </cfRule>
    <cfRule type="expression" dxfId="1123" priority="1261">
      <formula>K137="Choose option"</formula>
    </cfRule>
    <cfRule type="expression" dxfId="1122" priority="1282">
      <formula>$K137="Five yearly time-step"</formula>
    </cfRule>
    <cfRule type="expression" dxfId="1121" priority="1280">
      <formula>$K137="Five yearly time-step"</formula>
    </cfRule>
    <cfRule type="expression" dxfId="1120" priority="1259">
      <formula>K137="Choose option"</formula>
    </cfRule>
    <cfRule type="expression" dxfId="1119" priority="1281">
      <formula>K137="Choose option"</formula>
    </cfRule>
    <cfRule type="expression" dxfId="1118" priority="1260">
      <formula>$K137="Five yearly time-step"</formula>
    </cfRule>
    <cfRule type="expression" dxfId="1117" priority="1262">
      <formula>$K137="Five yearly time-step"</formula>
    </cfRule>
  </conditionalFormatting>
  <conditionalFormatting sqref="P137:P138">
    <cfRule type="expression" dxfId="1116" priority="1276">
      <formula>K137="Choose option"</formula>
    </cfRule>
  </conditionalFormatting>
  <conditionalFormatting sqref="P137:P139">
    <cfRule type="expression" dxfId="1115" priority="1284">
      <formula>$K137="Five yearly time-step"</formula>
    </cfRule>
    <cfRule type="expression" dxfId="1114" priority="1283">
      <formula>K137="Choose option"</formula>
    </cfRule>
  </conditionalFormatting>
  <conditionalFormatting sqref="P138">
    <cfRule type="expression" dxfId="1113" priority="1274">
      <formula>K138="Choose option"</formula>
    </cfRule>
    <cfRule type="expression" dxfId="1112" priority="1275">
      <formula>$K138="Five yearly time-step"</formula>
    </cfRule>
    <cfRule type="expression" dxfId="1111" priority="1277">
      <formula>$K138="Five yearly time-step"</formula>
    </cfRule>
  </conditionalFormatting>
  <conditionalFormatting sqref="P138:P139">
    <cfRule type="expression" dxfId="1110" priority="1271">
      <formula>$K138="Five yearly time-step"</formula>
    </cfRule>
    <cfRule type="expression" dxfId="1109" priority="1270">
      <formula>K138="Choose option"</formula>
    </cfRule>
  </conditionalFormatting>
  <conditionalFormatting sqref="P139">
    <cfRule type="expression" dxfId="1108" priority="1266">
      <formula>K139="Choose option"</formula>
    </cfRule>
    <cfRule type="expression" dxfId="1107" priority="1267">
      <formula>$K139="Five yearly time-step"</formula>
    </cfRule>
    <cfRule type="expression" dxfId="1106" priority="1269">
      <formula>$K139="Five yearly time-step"</formula>
    </cfRule>
    <cfRule type="expression" dxfId="1105" priority="1268">
      <formula>K139="Choose option"</formula>
    </cfRule>
  </conditionalFormatting>
  <conditionalFormatting sqref="P143">
    <cfRule type="expression" dxfId="1104" priority="2174">
      <formula>$K143="Five yearly time-step"</formula>
    </cfRule>
    <cfRule type="expression" dxfId="1103" priority="2175">
      <formula>K143="Choose option"</formula>
    </cfRule>
    <cfRule type="expression" dxfId="1102" priority="2176">
      <formula>$K143="Five yearly time-step"</formula>
    </cfRule>
    <cfRule type="expression" dxfId="1101" priority="2177">
      <formula>K143="Choose option"</formula>
    </cfRule>
    <cfRule type="expression" dxfId="1100" priority="2179">
      <formula>K143="Choose option"</formula>
    </cfRule>
    <cfRule type="expression" dxfId="1099" priority="2860">
      <formula>$K143="Five yearly time-step"</formula>
    </cfRule>
    <cfRule type="expression" dxfId="1098" priority="2180">
      <formula>$K143="Five yearly time-step"</formula>
    </cfRule>
    <cfRule type="expression" dxfId="1097" priority="2173">
      <formula>K143="Choose option"</formula>
    </cfRule>
    <cfRule type="expression" dxfId="1096" priority="2178">
      <formula>$K143="Five yearly time-step"</formula>
    </cfRule>
    <cfRule type="expression" dxfId="1095" priority="2862">
      <formula>$K143="Five yearly time-step"</formula>
    </cfRule>
    <cfRule type="expression" dxfId="1094" priority="2858">
      <formula>$K143="Five yearly time-step"</formula>
    </cfRule>
    <cfRule type="expression" dxfId="1093" priority="2861">
      <formula>K143="Choose option"</formula>
    </cfRule>
    <cfRule type="expression" dxfId="1092" priority="2859">
      <formula>K143="Choose option"</formula>
    </cfRule>
    <cfRule type="expression" dxfId="1091" priority="2857">
      <formula>K143="Choose option"</formula>
    </cfRule>
  </conditionalFormatting>
  <conditionalFormatting sqref="P143:P147">
    <cfRule type="expression" dxfId="1090" priority="2864">
      <formula>$K143="Five yearly time-step"</formula>
    </cfRule>
    <cfRule type="expression" dxfId="1089" priority="2863">
      <formula>K143="Choose option"</formula>
    </cfRule>
  </conditionalFormatting>
  <conditionalFormatting sqref="P144:P147">
    <cfRule type="expression" dxfId="1088" priority="1251">
      <formula>$K144="Five yearly time-step"</formula>
    </cfRule>
    <cfRule type="expression" dxfId="1087" priority="1250">
      <formula>K144="Choose option"</formula>
    </cfRule>
    <cfRule type="expression" dxfId="1086" priority="1240">
      <formula>K144="Choose option"</formula>
    </cfRule>
    <cfRule type="expression" dxfId="1085" priority="1241">
      <formula>$K144="Five yearly time-step"</formula>
    </cfRule>
    <cfRule type="expression" dxfId="1083" priority="4884">
      <formula>$K144="Five yearly time-step"</formula>
    </cfRule>
    <cfRule type="expression" dxfId="1082" priority="3786">
      <formula>K144="Choose option"</formula>
    </cfRule>
    <cfRule type="expression" dxfId="1081" priority="3787">
      <formula>$K144="Five yearly time-step"</formula>
    </cfRule>
    <cfRule type="expression" dxfId="1080" priority="3788">
      <formula>K144="Choose option"</formula>
    </cfRule>
    <cfRule type="expression" dxfId="1079" priority="3789">
      <formula>$K144="Five yearly time-step"</formula>
    </cfRule>
    <cfRule type="expression" dxfId="1078" priority="4883">
      <formula>K144="Choose option"</formula>
    </cfRule>
    <cfRule type="expression" dxfId="1077" priority="1248">
      <formula>K144="Choose option"</formula>
    </cfRule>
    <cfRule type="expression" dxfId="1076" priority="1249">
      <formula>$K144="Five yearly time-step"</formula>
    </cfRule>
  </conditionalFormatting>
  <conditionalFormatting sqref="P145">
    <cfRule type="expression" dxfId="1075" priority="1233">
      <formula>$K145="Five yearly time-step"</formula>
    </cfRule>
    <cfRule type="expression" dxfId="1074" priority="1212">
      <formula>K145="Choose option"</formula>
    </cfRule>
    <cfRule type="expression" dxfId="1073" priority="1213">
      <formula>$K145="Five yearly time-step"</formula>
    </cfRule>
    <cfRule type="expression" dxfId="1072" priority="1232">
      <formula>K145="Choose option"</formula>
    </cfRule>
    <cfRule type="expression" dxfId="1071" priority="1210">
      <formula>K145="Choose option"</formula>
    </cfRule>
    <cfRule type="expression" dxfId="1070" priority="1229">
      <formula>J145="Choose option"</formula>
    </cfRule>
    <cfRule type="expression" dxfId="1069" priority="1231">
      <formula>$K145="Five yearly time-step"</formula>
    </cfRule>
    <cfRule type="expression" dxfId="1068" priority="1211">
      <formula>$K145="Five yearly time-step"</formula>
    </cfRule>
  </conditionalFormatting>
  <conditionalFormatting sqref="P145:P146">
    <cfRule type="expression" dxfId="1067" priority="1227">
      <formula>K145="Choose option"</formula>
    </cfRule>
  </conditionalFormatting>
  <conditionalFormatting sqref="P145:P147">
    <cfRule type="expression" dxfId="1066" priority="1234">
      <formula>K145="Choose option"</formula>
    </cfRule>
    <cfRule type="expression" dxfId="1065" priority="1235">
      <formula>$K145="Five yearly time-step"</formula>
    </cfRule>
  </conditionalFormatting>
  <conditionalFormatting sqref="P146">
    <cfRule type="expression" dxfId="1064" priority="1225">
      <formula>K146="Choose option"</formula>
    </cfRule>
    <cfRule type="expression" dxfId="1063" priority="1226">
      <formula>$K146="Five yearly time-step"</formula>
    </cfRule>
    <cfRule type="expression" dxfId="1062" priority="1228">
      <formula>$K146="Five yearly time-step"</formula>
    </cfRule>
  </conditionalFormatting>
  <conditionalFormatting sqref="P146:P147">
    <cfRule type="expression" dxfId="1061" priority="1221">
      <formula>K146="Choose option"</formula>
    </cfRule>
    <cfRule type="expression" dxfId="1060" priority="1222">
      <formula>$K146="Five yearly time-step"</formula>
    </cfRule>
  </conditionalFormatting>
  <conditionalFormatting sqref="P147">
    <cfRule type="expression" dxfId="1059" priority="1219">
      <formula>K147="Choose option"</formula>
    </cfRule>
    <cfRule type="expression" dxfId="1058" priority="1220">
      <formula>$K147="Five yearly time-step"</formula>
    </cfRule>
    <cfRule type="expression" dxfId="1057" priority="1217">
      <formula>K147="Choose option"</formula>
    </cfRule>
    <cfRule type="expression" dxfId="1056" priority="1218">
      <formula>$K147="Five yearly time-step"</formula>
    </cfRule>
  </conditionalFormatting>
  <conditionalFormatting sqref="P151">
    <cfRule type="expression" dxfId="1055" priority="2168">
      <formula>K151="Choose option"</formula>
    </cfRule>
    <cfRule type="expression" dxfId="1054" priority="2167">
      <formula>$K151="Five yearly time-step"</formula>
    </cfRule>
    <cfRule type="expression" dxfId="1053" priority="2166">
      <formula>K151="Choose option"</formula>
    </cfRule>
    <cfRule type="expression" dxfId="1052" priority="2165">
      <formula>$K151="Five yearly time-step"</formula>
    </cfRule>
    <cfRule type="expression" dxfId="1051" priority="2164">
      <formula>K151="Choose option"</formula>
    </cfRule>
    <cfRule type="expression" dxfId="1050" priority="2845">
      <formula>K151="Choose option"</formula>
    </cfRule>
    <cfRule type="expression" dxfId="1049" priority="2843">
      <formula>K151="Choose option"</formula>
    </cfRule>
    <cfRule type="expression" dxfId="1048" priority="2842">
      <formula>$K151="Five yearly time-step"</formula>
    </cfRule>
    <cfRule type="expression" dxfId="1047" priority="2841">
      <formula>K151="Choose option"</formula>
    </cfRule>
    <cfRule type="expression" dxfId="1046" priority="2846">
      <formula>$K151="Five yearly time-step"</formula>
    </cfRule>
    <cfRule type="expression" dxfId="1045" priority="2844">
      <formula>$K151="Five yearly time-step"</formula>
    </cfRule>
    <cfRule type="expression" dxfId="1044" priority="2171">
      <formula>$K151="Five yearly time-step"</formula>
    </cfRule>
    <cfRule type="expression" dxfId="1043" priority="2170">
      <formula>K151="Choose option"</formula>
    </cfRule>
    <cfRule type="expression" dxfId="1042" priority="2169">
      <formula>$K151="Five yearly time-step"</formula>
    </cfRule>
  </conditionalFormatting>
  <conditionalFormatting sqref="P151:P155">
    <cfRule type="expression" dxfId="1041" priority="2848">
      <formula>$K151="Five yearly time-step"</formula>
    </cfRule>
    <cfRule type="expression" dxfId="1040" priority="2847">
      <formula>K151="Choose option"</formula>
    </cfRule>
  </conditionalFormatting>
  <conditionalFormatting sqref="P152:P155">
    <cfRule type="expression" dxfId="1039" priority="3774">
      <formula>$K152="Five yearly time-step"</formula>
    </cfRule>
    <cfRule type="expression" dxfId="1037" priority="3776">
      <formula>$K152="Five yearly time-step"</formula>
    </cfRule>
    <cfRule type="expression" dxfId="1036" priority="3775">
      <formula>K152="Choose option"</formula>
    </cfRule>
    <cfRule type="expression" dxfId="1035" priority="3773">
      <formula>K152="Choose option"</formula>
    </cfRule>
    <cfRule type="expression" dxfId="1034" priority="4872">
      <formula>$K152="Five yearly time-step"</formula>
    </cfRule>
    <cfRule type="expression" dxfId="1033" priority="1202">
      <formula>$K152="Five yearly time-step"</formula>
    </cfRule>
    <cfRule type="expression" dxfId="1032" priority="1201">
      <formula>K152="Choose option"</formula>
    </cfRule>
    <cfRule type="expression" dxfId="1031" priority="1200">
      <formula>$K152="Five yearly time-step"</formula>
    </cfRule>
    <cfRule type="expression" dxfId="1030" priority="1199">
      <formula>K152="Choose option"</formula>
    </cfRule>
    <cfRule type="expression" dxfId="1029" priority="1192">
      <formula>$K152="Five yearly time-step"</formula>
    </cfRule>
    <cfRule type="expression" dxfId="1028" priority="1191">
      <formula>K152="Choose option"</formula>
    </cfRule>
    <cfRule type="expression" dxfId="1027" priority="4871">
      <formula>K152="Choose option"</formula>
    </cfRule>
  </conditionalFormatting>
  <conditionalFormatting sqref="P153">
    <cfRule type="expression" dxfId="1026" priority="1163">
      <formula>K153="Choose option"</formula>
    </cfRule>
    <cfRule type="expression" dxfId="1025" priority="1164">
      <formula>$K153="Five yearly time-step"</formula>
    </cfRule>
    <cfRule type="expression" dxfId="1024" priority="1182">
      <formula>$K153="Five yearly time-step"</formula>
    </cfRule>
    <cfRule type="expression" dxfId="1023" priority="1162">
      <formula>$K153="Five yearly time-step"</formula>
    </cfRule>
    <cfRule type="expression" dxfId="1022" priority="1183">
      <formula>K153="Choose option"</formula>
    </cfRule>
    <cfRule type="expression" dxfId="1021" priority="1161">
      <formula>K153="Choose option"</formula>
    </cfRule>
    <cfRule type="expression" dxfId="1020" priority="1184">
      <formula>$K153="Five yearly time-step"</formula>
    </cfRule>
    <cfRule type="expression" dxfId="1019" priority="1180">
      <formula>J153="Choose option"</formula>
    </cfRule>
  </conditionalFormatting>
  <conditionalFormatting sqref="P153:P154">
    <cfRule type="expression" dxfId="1018" priority="1178">
      <formula>K153="Choose option"</formula>
    </cfRule>
  </conditionalFormatting>
  <conditionalFormatting sqref="P153:P155">
    <cfRule type="expression" dxfId="1017" priority="1186">
      <formula>$K153="Five yearly time-step"</formula>
    </cfRule>
    <cfRule type="expression" dxfId="1016" priority="1185">
      <formula>K153="Choose option"</formula>
    </cfRule>
  </conditionalFormatting>
  <conditionalFormatting sqref="P154">
    <cfRule type="expression" dxfId="1015" priority="1179">
      <formula>$K154="Five yearly time-step"</formula>
    </cfRule>
    <cfRule type="expression" dxfId="1014" priority="1177">
      <formula>$K154="Five yearly time-step"</formula>
    </cfRule>
    <cfRule type="expression" dxfId="1013" priority="1176">
      <formula>K154="Choose option"</formula>
    </cfRule>
  </conditionalFormatting>
  <conditionalFormatting sqref="P154:P155">
    <cfRule type="expression" dxfId="1012" priority="1173">
      <formula>$K154="Five yearly time-step"</formula>
    </cfRule>
    <cfRule type="expression" dxfId="1011" priority="1172">
      <formula>K154="Choose option"</formula>
    </cfRule>
  </conditionalFormatting>
  <conditionalFormatting sqref="P155">
    <cfRule type="expression" dxfId="1010" priority="1169">
      <formula>$K155="Five yearly time-step"</formula>
    </cfRule>
    <cfRule type="expression" dxfId="1009" priority="1168">
      <formula>K155="Choose option"</formula>
    </cfRule>
    <cfRule type="expression" dxfId="1008" priority="1170">
      <formula>K155="Choose option"</formula>
    </cfRule>
    <cfRule type="expression" dxfId="1007" priority="1171">
      <formula>$K155="Five yearly time-step"</formula>
    </cfRule>
  </conditionalFormatting>
  <conditionalFormatting sqref="P159">
    <cfRule type="expression" dxfId="1006" priority="2825">
      <formula>K159="Choose option"</formula>
    </cfRule>
    <cfRule type="expression" dxfId="1005" priority="2826">
      <formula>$K159="Five yearly time-step"</formula>
    </cfRule>
    <cfRule type="expression" dxfId="1004" priority="2827">
      <formula>K159="Choose option"</formula>
    </cfRule>
    <cfRule type="expression" dxfId="1003" priority="2162">
      <formula>$K159="Five yearly time-step"</formula>
    </cfRule>
    <cfRule type="expression" dxfId="1002" priority="2161">
      <formula>K159="Choose option"</formula>
    </cfRule>
    <cfRule type="expression" dxfId="1001" priority="2160">
      <formula>$K159="Five yearly time-step"</formula>
    </cfRule>
    <cfRule type="expression" dxfId="1000" priority="2159">
      <formula>K159="Choose option"</formula>
    </cfRule>
    <cfRule type="expression" dxfId="999" priority="2158">
      <formula>$K159="Five yearly time-step"</formula>
    </cfRule>
    <cfRule type="expression" dxfId="998" priority="2157">
      <formula>K159="Choose option"</formula>
    </cfRule>
    <cfRule type="expression" dxfId="997" priority="2156">
      <formula>$K159="Five yearly time-step"</formula>
    </cfRule>
    <cfRule type="expression" dxfId="996" priority="2155">
      <formula>K159="Choose option"</formula>
    </cfRule>
    <cfRule type="expression" dxfId="995" priority="2828">
      <formula>$K159="Five yearly time-step"</formula>
    </cfRule>
    <cfRule type="expression" dxfId="994" priority="2829">
      <formula>K159="Choose option"</formula>
    </cfRule>
    <cfRule type="expression" dxfId="993" priority="2830">
      <formula>$K159="Five yearly time-step"</formula>
    </cfRule>
  </conditionalFormatting>
  <conditionalFormatting sqref="P159:P163">
    <cfRule type="expression" dxfId="992" priority="2831">
      <formula>K159="Choose option"</formula>
    </cfRule>
    <cfRule type="expression" dxfId="991" priority="2832">
      <formula>$K159="Five yearly time-step"</formula>
    </cfRule>
  </conditionalFormatting>
  <conditionalFormatting sqref="P160:P163">
    <cfRule type="expression" dxfId="990" priority="3761">
      <formula>$K160="Five yearly time-step"</formula>
    </cfRule>
    <cfRule type="expression" dxfId="989" priority="4860">
      <formula>$K160="Five yearly time-step"</formula>
    </cfRule>
    <cfRule type="expression" dxfId="988" priority="1153">
      <formula>$K160="Five yearly time-step"</formula>
    </cfRule>
    <cfRule type="expression" dxfId="987" priority="1152">
      <formula>K160="Choose option"</formula>
    </cfRule>
    <cfRule type="expression" dxfId="986" priority="1151">
      <formula>$K160="Five yearly time-step"</formula>
    </cfRule>
    <cfRule type="expression" dxfId="985" priority="4859">
      <formula>K160="Choose option"</formula>
    </cfRule>
    <cfRule type="expression" dxfId="984" priority="1150">
      <formula>K160="Choose option"</formula>
    </cfRule>
    <cfRule type="expression" dxfId="983" priority="1143">
      <formula>$K160="Five yearly time-step"</formula>
    </cfRule>
    <cfRule type="expression" dxfId="982" priority="1142">
      <formula>K160="Choose option"</formula>
    </cfRule>
    <cfRule type="expression" dxfId="981" priority="3760">
      <formula>K160="Choose option"</formula>
    </cfRule>
    <cfRule type="expression" dxfId="979" priority="3763">
      <formula>$K160="Five yearly time-step"</formula>
    </cfRule>
    <cfRule type="expression" dxfId="978" priority="3762">
      <formula>K160="Choose option"</formula>
    </cfRule>
  </conditionalFormatting>
  <conditionalFormatting sqref="P161">
    <cfRule type="expression" dxfId="977" priority="1113">
      <formula>$K161="Five yearly time-step"</formula>
    </cfRule>
    <cfRule type="expression" dxfId="976" priority="1134">
      <formula>K161="Choose option"</formula>
    </cfRule>
    <cfRule type="expression" dxfId="975" priority="1115">
      <formula>$K161="Five yearly time-step"</formula>
    </cfRule>
    <cfRule type="expression" dxfId="974" priority="1114">
      <formula>K161="Choose option"</formula>
    </cfRule>
    <cfRule type="expression" dxfId="973" priority="1135">
      <formula>$K161="Five yearly time-step"</formula>
    </cfRule>
    <cfRule type="expression" dxfId="972" priority="1133">
      <formula>$K161="Five yearly time-step"</formula>
    </cfRule>
    <cfRule type="expression" dxfId="971" priority="1131">
      <formula>J161="Choose option"</formula>
    </cfRule>
    <cfRule type="expression" dxfId="970" priority="1112">
      <formula>K161="Choose option"</formula>
    </cfRule>
  </conditionalFormatting>
  <conditionalFormatting sqref="P161:P162">
    <cfRule type="expression" dxfId="969" priority="1129">
      <formula>K161="Choose option"</formula>
    </cfRule>
  </conditionalFormatting>
  <conditionalFormatting sqref="P161:P163">
    <cfRule type="expression" dxfId="968" priority="1136">
      <formula>K161="Choose option"</formula>
    </cfRule>
    <cfRule type="expression" dxfId="967" priority="1137">
      <formula>$K161="Five yearly time-step"</formula>
    </cfRule>
  </conditionalFormatting>
  <conditionalFormatting sqref="P162">
    <cfRule type="expression" dxfId="966" priority="1128">
      <formula>$K162="Five yearly time-step"</formula>
    </cfRule>
    <cfRule type="expression" dxfId="965" priority="1127">
      <formula>K162="Choose option"</formula>
    </cfRule>
    <cfRule type="expression" dxfId="964" priority="1130">
      <formula>$K162="Five yearly time-step"</formula>
    </cfRule>
  </conditionalFormatting>
  <conditionalFormatting sqref="P162:P163">
    <cfRule type="expression" dxfId="963" priority="1124">
      <formula>$K162="Five yearly time-step"</formula>
    </cfRule>
    <cfRule type="expression" dxfId="962" priority="1123">
      <formula>K162="Choose option"</formula>
    </cfRule>
  </conditionalFormatting>
  <conditionalFormatting sqref="P163">
    <cfRule type="expression" dxfId="961" priority="1119">
      <formula>K163="Choose option"</formula>
    </cfRule>
    <cfRule type="expression" dxfId="960" priority="1122">
      <formula>$K163="Five yearly time-step"</formula>
    </cfRule>
    <cfRule type="expression" dxfId="959" priority="1121">
      <formula>K163="Choose option"</formula>
    </cfRule>
    <cfRule type="expression" dxfId="958" priority="1120">
      <formula>$K163="Five yearly time-step"</formula>
    </cfRule>
  </conditionalFormatting>
  <conditionalFormatting sqref="P167">
    <cfRule type="expression" dxfId="957" priority="2810">
      <formula>$K167="Five yearly time-step"</formula>
    </cfRule>
    <cfRule type="expression" dxfId="956" priority="2811">
      <formula>K167="Choose option"</formula>
    </cfRule>
    <cfRule type="expression" dxfId="955" priority="2812">
      <formula>$K167="Five yearly time-step"</formula>
    </cfRule>
    <cfRule type="expression" dxfId="954" priority="2813">
      <formula>K167="Choose option"</formula>
    </cfRule>
    <cfRule type="expression" dxfId="953" priority="2146">
      <formula>K167="Choose option"</formula>
    </cfRule>
    <cfRule type="expression" dxfId="952" priority="2152">
      <formula>K167="Choose option"</formula>
    </cfRule>
    <cfRule type="expression" dxfId="951" priority="2151">
      <formula>$K167="Five yearly time-step"</formula>
    </cfRule>
    <cfRule type="expression" dxfId="950" priority="2150">
      <formula>K167="Choose option"</formula>
    </cfRule>
    <cfRule type="expression" dxfId="949" priority="2148">
      <formula>K167="Choose option"</formula>
    </cfRule>
    <cfRule type="expression" dxfId="948" priority="2149">
      <formula>$K167="Five yearly time-step"</formula>
    </cfRule>
    <cfRule type="expression" dxfId="947" priority="2153">
      <formula>$K167="Five yearly time-step"</formula>
    </cfRule>
    <cfRule type="expression" dxfId="946" priority="2814">
      <formula>$K167="Five yearly time-step"</formula>
    </cfRule>
    <cfRule type="expression" dxfId="945" priority="2147">
      <formula>$K167="Five yearly time-step"</formula>
    </cfRule>
    <cfRule type="expression" dxfId="944" priority="2809">
      <formula>K167="Choose option"</formula>
    </cfRule>
  </conditionalFormatting>
  <conditionalFormatting sqref="P167:P171">
    <cfRule type="expression" dxfId="943" priority="2816">
      <formula>$K167="Five yearly time-step"</formula>
    </cfRule>
    <cfRule type="expression" dxfId="942" priority="2815">
      <formula>K167="Choose option"</formula>
    </cfRule>
  </conditionalFormatting>
  <conditionalFormatting sqref="P168:P171">
    <cfRule type="expression" dxfId="941" priority="1093">
      <formula>K168="Choose option"</formula>
    </cfRule>
    <cfRule type="expression" dxfId="939" priority="4848">
      <formula>$K168="Five yearly time-step"</formula>
    </cfRule>
    <cfRule type="expression" dxfId="938" priority="1094">
      <formula>$K168="Five yearly time-step"</formula>
    </cfRule>
    <cfRule type="expression" dxfId="937" priority="1102">
      <formula>$K168="Five yearly time-step"</formula>
    </cfRule>
    <cfRule type="expression" dxfId="936" priority="3749">
      <formula>K168="Choose option"</formula>
    </cfRule>
    <cfRule type="expression" dxfId="935" priority="1103">
      <formula>K168="Choose option"</formula>
    </cfRule>
    <cfRule type="expression" dxfId="934" priority="1104">
      <formula>$K168="Five yearly time-step"</formula>
    </cfRule>
    <cfRule type="expression" dxfId="933" priority="3747">
      <formula>K168="Choose option"</formula>
    </cfRule>
    <cfRule type="expression" dxfId="932" priority="3750">
      <formula>$K168="Five yearly time-step"</formula>
    </cfRule>
    <cfRule type="expression" dxfId="931" priority="3748">
      <formula>$K168="Five yearly time-step"</formula>
    </cfRule>
    <cfRule type="expression" dxfId="930" priority="4847">
      <formula>K168="Choose option"</formula>
    </cfRule>
    <cfRule type="expression" dxfId="929" priority="1101">
      <formula>K168="Choose option"</formula>
    </cfRule>
  </conditionalFormatting>
  <conditionalFormatting sqref="P169">
    <cfRule type="expression" dxfId="928" priority="1085">
      <formula>K169="Choose option"</formula>
    </cfRule>
    <cfRule type="expression" dxfId="927" priority="1086">
      <formula>$K169="Five yearly time-step"</formula>
    </cfRule>
    <cfRule type="expression" dxfId="926" priority="1063">
      <formula>K169="Choose option"</formula>
    </cfRule>
    <cfRule type="expression" dxfId="925" priority="1084">
      <formula>$K169="Five yearly time-step"</formula>
    </cfRule>
    <cfRule type="expression" dxfId="924" priority="1066">
      <formula>$K169="Five yearly time-step"</formula>
    </cfRule>
    <cfRule type="expression" dxfId="923" priority="1065">
      <formula>K169="Choose option"</formula>
    </cfRule>
    <cfRule type="expression" dxfId="922" priority="1082">
      <formula>J169="Choose option"</formula>
    </cfRule>
    <cfRule type="expression" dxfId="921" priority="1064">
      <formula>$K169="Five yearly time-step"</formula>
    </cfRule>
  </conditionalFormatting>
  <conditionalFormatting sqref="P169:P170">
    <cfRule type="expression" dxfId="920" priority="1080">
      <formula>K169="Choose option"</formula>
    </cfRule>
  </conditionalFormatting>
  <conditionalFormatting sqref="P169:P171">
    <cfRule type="expression" dxfId="919" priority="1087">
      <formula>K169="Choose option"</formula>
    </cfRule>
    <cfRule type="expression" dxfId="918" priority="1088">
      <formula>$K169="Five yearly time-step"</formula>
    </cfRule>
  </conditionalFormatting>
  <conditionalFormatting sqref="P170">
    <cfRule type="expression" dxfId="917" priority="1081">
      <formula>$K170="Five yearly time-step"</formula>
    </cfRule>
    <cfRule type="expression" dxfId="916" priority="1079">
      <formula>$K170="Five yearly time-step"</formula>
    </cfRule>
    <cfRule type="expression" dxfId="915" priority="1078">
      <formula>K170="Choose option"</formula>
    </cfRule>
  </conditionalFormatting>
  <conditionalFormatting sqref="P170:P171">
    <cfRule type="expression" dxfId="914" priority="1075">
      <formula>$K170="Five yearly time-step"</formula>
    </cfRule>
    <cfRule type="expression" dxfId="913" priority="1074">
      <formula>K170="Choose option"</formula>
    </cfRule>
  </conditionalFormatting>
  <conditionalFormatting sqref="P171">
    <cfRule type="expression" dxfId="912" priority="1071">
      <formula>$K171="Five yearly time-step"</formula>
    </cfRule>
    <cfRule type="expression" dxfId="911" priority="1070">
      <formula>K171="Choose option"</formula>
    </cfRule>
    <cfRule type="expression" dxfId="910" priority="1073">
      <formula>$K171="Five yearly time-step"</formula>
    </cfRule>
    <cfRule type="expression" dxfId="909" priority="1072">
      <formula>K171="Choose option"</formula>
    </cfRule>
  </conditionalFormatting>
  <conditionalFormatting sqref="P175">
    <cfRule type="expression" dxfId="908" priority="2794">
      <formula>$K175="Five yearly time-step"</formula>
    </cfRule>
    <cfRule type="expression" dxfId="907" priority="2142">
      <formula>$K175="Five yearly time-step"</formula>
    </cfRule>
    <cfRule type="expression" dxfId="906" priority="2144">
      <formula>$K175="Five yearly time-step"</formula>
    </cfRule>
    <cfRule type="expression" dxfId="905" priority="2137">
      <formula>K175="Choose option"</formula>
    </cfRule>
    <cfRule type="expression" dxfId="904" priority="2798">
      <formula>$K175="Five yearly time-step"</formula>
    </cfRule>
    <cfRule type="expression" dxfId="903" priority="2797">
      <formula>K175="Choose option"</formula>
    </cfRule>
    <cfRule type="expression" dxfId="902" priority="2141">
      <formula>K175="Choose option"</formula>
    </cfRule>
    <cfRule type="expression" dxfId="901" priority="2140">
      <formula>$K175="Five yearly time-step"</formula>
    </cfRule>
    <cfRule type="expression" dxfId="900" priority="2139">
      <formula>K175="Choose option"</formula>
    </cfRule>
    <cfRule type="expression" dxfId="899" priority="2796">
      <formula>$K175="Five yearly time-step"</formula>
    </cfRule>
    <cfRule type="expression" dxfId="898" priority="2795">
      <formula>K175="Choose option"</formula>
    </cfRule>
    <cfRule type="expression" dxfId="897" priority="2138">
      <formula>$K175="Five yearly time-step"</formula>
    </cfRule>
    <cfRule type="expression" dxfId="896" priority="2793">
      <formula>K175="Choose option"</formula>
    </cfRule>
    <cfRule type="expression" dxfId="895" priority="2143">
      <formula>K175="Choose option"</formula>
    </cfRule>
  </conditionalFormatting>
  <conditionalFormatting sqref="P175:P179">
    <cfRule type="expression" dxfId="894" priority="2799">
      <formula>K175="Choose option"</formula>
    </cfRule>
    <cfRule type="expression" dxfId="893" priority="2800">
      <formula>$K175="Five yearly time-step"</formula>
    </cfRule>
  </conditionalFormatting>
  <conditionalFormatting sqref="P176:P179">
    <cfRule type="expression" dxfId="892" priority="3737">
      <formula>$K176="Five yearly time-step"</formula>
    </cfRule>
    <cfRule type="expression" dxfId="891" priority="3736">
      <formula>K176="Choose option"</formula>
    </cfRule>
    <cfRule type="expression" dxfId="890" priority="3735">
      <formula>$K176="Five yearly time-step"</formula>
    </cfRule>
    <cfRule type="expression" dxfId="889" priority="3734">
      <formula>K176="Choose option"</formula>
    </cfRule>
    <cfRule type="expression" dxfId="888" priority="1054">
      <formula>K176="Choose option"</formula>
    </cfRule>
    <cfRule type="expression" dxfId="887" priority="1055">
      <formula>$K176="Five yearly time-step"</formula>
    </cfRule>
    <cfRule type="expression" dxfId="886" priority="4835">
      <formula>K176="Choose option"</formula>
    </cfRule>
    <cfRule type="expression" dxfId="885" priority="4836">
      <formula>$K176="Five yearly time-step"</formula>
    </cfRule>
    <cfRule type="expression" dxfId="884" priority="1044">
      <formula>K176="Choose option"</formula>
    </cfRule>
    <cfRule type="expression" dxfId="882" priority="1052">
      <formula>K176="Choose option"</formula>
    </cfRule>
    <cfRule type="expression" dxfId="881" priority="1045">
      <formula>$K176="Five yearly time-step"</formula>
    </cfRule>
    <cfRule type="expression" dxfId="880" priority="1053">
      <formula>$K176="Five yearly time-step"</formula>
    </cfRule>
  </conditionalFormatting>
  <conditionalFormatting sqref="P177">
    <cfRule type="expression" dxfId="879" priority="1035">
      <formula>$K177="Five yearly time-step"</formula>
    </cfRule>
    <cfRule type="expression" dxfId="878" priority="1014">
      <formula>K177="Choose option"</formula>
    </cfRule>
    <cfRule type="expression" dxfId="877" priority="1015">
      <formula>$K177="Five yearly time-step"</formula>
    </cfRule>
    <cfRule type="expression" dxfId="876" priority="1017">
      <formula>$K177="Five yearly time-step"</formula>
    </cfRule>
    <cfRule type="expression" dxfId="875" priority="1037">
      <formula>$K177="Five yearly time-step"</formula>
    </cfRule>
    <cfRule type="expression" dxfId="874" priority="1016">
      <formula>K177="Choose option"</formula>
    </cfRule>
    <cfRule type="expression" dxfId="873" priority="1033">
      <formula>J177="Choose option"</formula>
    </cfRule>
    <cfRule type="expression" dxfId="872" priority="1036">
      <formula>K177="Choose option"</formula>
    </cfRule>
  </conditionalFormatting>
  <conditionalFormatting sqref="P177:P178">
    <cfRule type="expression" dxfId="871" priority="1031">
      <formula>K177="Choose option"</formula>
    </cfRule>
  </conditionalFormatting>
  <conditionalFormatting sqref="P177:P179">
    <cfRule type="expression" dxfId="870" priority="1038">
      <formula>K177="Choose option"</formula>
    </cfRule>
    <cfRule type="expression" dxfId="869" priority="1039">
      <formula>$K177="Five yearly time-step"</formula>
    </cfRule>
  </conditionalFormatting>
  <conditionalFormatting sqref="P178">
    <cfRule type="expression" dxfId="868" priority="1029">
      <formula>K178="Choose option"</formula>
    </cfRule>
    <cfRule type="expression" dxfId="867" priority="1032">
      <formula>$K178="Five yearly time-step"</formula>
    </cfRule>
    <cfRule type="expression" dxfId="866" priority="1030">
      <formula>$K178="Five yearly time-step"</formula>
    </cfRule>
  </conditionalFormatting>
  <conditionalFormatting sqref="P178:P179">
    <cfRule type="expression" dxfId="865" priority="1025">
      <formula>K178="Choose option"</formula>
    </cfRule>
    <cfRule type="expression" dxfId="864" priority="1026">
      <formula>$K178="Five yearly time-step"</formula>
    </cfRule>
  </conditionalFormatting>
  <conditionalFormatting sqref="P179">
    <cfRule type="expression" dxfId="863" priority="1023">
      <formula>K179="Choose option"</formula>
    </cfRule>
    <cfRule type="expression" dxfId="862" priority="1024">
      <formula>$K179="Five yearly time-step"</formula>
    </cfRule>
    <cfRule type="expression" dxfId="861" priority="1022">
      <formula>$K179="Five yearly time-step"</formula>
    </cfRule>
    <cfRule type="expression" dxfId="860" priority="1021">
      <formula>K179="Choose option"</formula>
    </cfRule>
  </conditionalFormatting>
  <conditionalFormatting sqref="P183">
    <cfRule type="expression" dxfId="859" priority="2135">
      <formula>$K183="Five yearly time-step"</formula>
    </cfRule>
    <cfRule type="expression" dxfId="858" priority="2134">
      <formula>K183="Choose option"</formula>
    </cfRule>
    <cfRule type="expression" dxfId="857" priority="2133">
      <formula>$K183="Five yearly time-step"</formula>
    </cfRule>
    <cfRule type="expression" dxfId="856" priority="2131">
      <formula>$K183="Five yearly time-step"</formula>
    </cfRule>
    <cfRule type="expression" dxfId="855" priority="2130">
      <formula>K183="Choose option"</formula>
    </cfRule>
    <cfRule type="expression" dxfId="854" priority="2129">
      <formula>$K183="Five yearly time-step"</formula>
    </cfRule>
    <cfRule type="expression" dxfId="853" priority="2128">
      <formula>K183="Choose option"</formula>
    </cfRule>
    <cfRule type="expression" dxfId="852" priority="2777">
      <formula>K183="Choose option"</formula>
    </cfRule>
    <cfRule type="expression" dxfId="851" priority="2778">
      <formula>$K183="Five yearly time-step"</formula>
    </cfRule>
    <cfRule type="expression" dxfId="850" priority="2779">
      <formula>K183="Choose option"</formula>
    </cfRule>
    <cfRule type="expression" dxfId="849" priority="2780">
      <formula>$K183="Five yearly time-step"</formula>
    </cfRule>
    <cfRule type="expression" dxfId="848" priority="2781">
      <formula>K183="Choose option"</formula>
    </cfRule>
    <cfRule type="expression" dxfId="847" priority="2782">
      <formula>$K183="Five yearly time-step"</formula>
    </cfRule>
    <cfRule type="expression" dxfId="846" priority="2132">
      <formula>K183="Choose option"</formula>
    </cfRule>
  </conditionalFormatting>
  <conditionalFormatting sqref="P183:P187">
    <cfRule type="expression" dxfId="845" priority="2784">
      <formula>$K183="Five yearly time-step"</formula>
    </cfRule>
    <cfRule type="expression" dxfId="844" priority="2783">
      <formula>K183="Choose option"</formula>
    </cfRule>
  </conditionalFormatting>
  <conditionalFormatting sqref="P184:P187">
    <cfRule type="expression" dxfId="842" priority="1006">
      <formula>$K184="Five yearly time-step"</formula>
    </cfRule>
    <cfRule type="expression" dxfId="841" priority="4824">
      <formula>$K184="Five yearly time-step"</formula>
    </cfRule>
    <cfRule type="expression" dxfId="840" priority="4823">
      <formula>K184="Choose option"</formula>
    </cfRule>
    <cfRule type="expression" dxfId="839" priority="3724">
      <formula>$K184="Five yearly time-step"</formula>
    </cfRule>
    <cfRule type="expression" dxfId="838" priority="3723">
      <formula>K184="Choose option"</formula>
    </cfRule>
    <cfRule type="expression" dxfId="837" priority="3722">
      <formula>$K184="Five yearly time-step"</formula>
    </cfRule>
    <cfRule type="expression" dxfId="836" priority="3721">
      <formula>K184="Choose option"</formula>
    </cfRule>
    <cfRule type="expression" dxfId="835" priority="996">
      <formula>$K184="Five yearly time-step"</formula>
    </cfRule>
    <cfRule type="expression" dxfId="834" priority="1005">
      <formula>K184="Choose option"</formula>
    </cfRule>
    <cfRule type="expression" dxfId="833" priority="1004">
      <formula>$K184="Five yearly time-step"</formula>
    </cfRule>
    <cfRule type="expression" dxfId="832" priority="1003">
      <formula>K184="Choose option"</formula>
    </cfRule>
    <cfRule type="expression" dxfId="831" priority="995">
      <formula>K184="Choose option"</formula>
    </cfRule>
  </conditionalFormatting>
  <conditionalFormatting sqref="P185">
    <cfRule type="expression" dxfId="830" priority="967">
      <formula>K185="Choose option"</formula>
    </cfRule>
    <cfRule type="expression" dxfId="829" priority="965">
      <formula>K185="Choose option"</formula>
    </cfRule>
    <cfRule type="expression" dxfId="828" priority="984">
      <formula>J185="Choose option"</formula>
    </cfRule>
    <cfRule type="expression" dxfId="827" priority="966">
      <formula>$K185="Five yearly time-step"</formula>
    </cfRule>
    <cfRule type="expression" dxfId="826" priority="987">
      <formula>K185="Choose option"</formula>
    </cfRule>
    <cfRule type="expression" dxfId="825" priority="988">
      <formula>$K185="Five yearly time-step"</formula>
    </cfRule>
    <cfRule type="expression" dxfId="824" priority="986">
      <formula>$K185="Five yearly time-step"</formula>
    </cfRule>
    <cfRule type="expression" dxfId="823" priority="968">
      <formula>$K185="Five yearly time-step"</formula>
    </cfRule>
  </conditionalFormatting>
  <conditionalFormatting sqref="P185:P186">
    <cfRule type="expression" dxfId="822" priority="982">
      <formula>K185="Choose option"</formula>
    </cfRule>
  </conditionalFormatting>
  <conditionalFormatting sqref="P185:P187">
    <cfRule type="expression" dxfId="821" priority="989">
      <formula>K185="Choose option"</formula>
    </cfRule>
    <cfRule type="expression" dxfId="820" priority="990">
      <formula>$K185="Five yearly time-step"</formula>
    </cfRule>
  </conditionalFormatting>
  <conditionalFormatting sqref="P186">
    <cfRule type="expression" dxfId="819" priority="983">
      <formula>$K186="Five yearly time-step"</formula>
    </cfRule>
    <cfRule type="expression" dxfId="818" priority="981">
      <formula>$K186="Five yearly time-step"</formula>
    </cfRule>
    <cfRule type="expression" dxfId="817" priority="980">
      <formula>K186="Choose option"</formula>
    </cfRule>
  </conditionalFormatting>
  <conditionalFormatting sqref="P186:P187">
    <cfRule type="expression" dxfId="816" priority="976">
      <formula>K186="Choose option"</formula>
    </cfRule>
    <cfRule type="expression" dxfId="815" priority="977">
      <formula>$K186="Five yearly time-step"</formula>
    </cfRule>
  </conditionalFormatting>
  <conditionalFormatting sqref="P187">
    <cfRule type="expression" dxfId="814" priority="973">
      <formula>$K187="Five yearly time-step"</formula>
    </cfRule>
    <cfRule type="expression" dxfId="813" priority="975">
      <formula>$K187="Five yearly time-step"</formula>
    </cfRule>
    <cfRule type="expression" dxfId="812" priority="972">
      <formula>K187="Choose option"</formula>
    </cfRule>
    <cfRule type="expression" dxfId="811" priority="974">
      <formula>K187="Choose option"</formula>
    </cfRule>
  </conditionalFormatting>
  <conditionalFormatting sqref="P191">
    <cfRule type="expression" dxfId="810" priority="2125">
      <formula>K191="Choose option"</formula>
    </cfRule>
    <cfRule type="expression" dxfId="809" priority="2122">
      <formula>$K191="Five yearly time-step"</formula>
    </cfRule>
    <cfRule type="expression" dxfId="808" priority="2761">
      <formula>K191="Choose option"</formula>
    </cfRule>
    <cfRule type="expression" dxfId="807" priority="2765">
      <formula>K191="Choose option"</formula>
    </cfRule>
    <cfRule type="expression" dxfId="806" priority="2766">
      <formula>$K191="Five yearly time-step"</formula>
    </cfRule>
    <cfRule type="expression" dxfId="805" priority="2764">
      <formula>$K191="Five yearly time-step"</formula>
    </cfRule>
    <cfRule type="expression" dxfId="804" priority="2120">
      <formula>$K191="Five yearly time-step"</formula>
    </cfRule>
    <cfRule type="expression" dxfId="803" priority="2763">
      <formula>K191="Choose option"</formula>
    </cfRule>
    <cfRule type="expression" dxfId="802" priority="2126">
      <formula>$K191="Five yearly time-step"</formula>
    </cfRule>
    <cfRule type="expression" dxfId="801" priority="2124">
      <formula>$K191="Five yearly time-step"</formula>
    </cfRule>
    <cfRule type="expression" dxfId="800" priority="2119">
      <formula>K191="Choose option"</formula>
    </cfRule>
    <cfRule type="expression" dxfId="799" priority="2123">
      <formula>K191="Choose option"</formula>
    </cfRule>
    <cfRule type="expression" dxfId="798" priority="2121">
      <formula>K191="Choose option"</formula>
    </cfRule>
    <cfRule type="expression" dxfId="797" priority="2762">
      <formula>$K191="Five yearly time-step"</formula>
    </cfRule>
  </conditionalFormatting>
  <conditionalFormatting sqref="P191:P195">
    <cfRule type="expression" dxfId="796" priority="2767">
      <formula>K191="Choose option"</formula>
    </cfRule>
    <cfRule type="expression" dxfId="795" priority="2768">
      <formula>$K191="Five yearly time-step"</formula>
    </cfRule>
  </conditionalFormatting>
  <conditionalFormatting sqref="P192:P195">
    <cfRule type="expression" dxfId="794" priority="3710">
      <formula>K192="Choose option"</formula>
    </cfRule>
    <cfRule type="expression" dxfId="793" priority="3711">
      <formula>$K192="Five yearly time-step"</formula>
    </cfRule>
    <cfRule type="expression" dxfId="792" priority="3709">
      <formula>$K192="Five yearly time-step"</formula>
    </cfRule>
    <cfRule type="expression" dxfId="791" priority="3708">
      <formula>K192="Choose option"</formula>
    </cfRule>
    <cfRule type="expression" dxfId="790" priority="946">
      <formula>K192="Choose option"</formula>
    </cfRule>
    <cfRule type="expression" dxfId="788" priority="4811">
      <formula>K192="Choose option"</formula>
    </cfRule>
    <cfRule type="expression" dxfId="787" priority="947">
      <formula>$K192="Five yearly time-step"</formula>
    </cfRule>
    <cfRule type="expression" dxfId="786" priority="4812">
      <formula>$K192="Five yearly time-step"</formula>
    </cfRule>
    <cfRule type="expression" dxfId="785" priority="955">
      <formula>$K192="Five yearly time-step"</formula>
    </cfRule>
    <cfRule type="expression" dxfId="784" priority="954">
      <formula>K192="Choose option"</formula>
    </cfRule>
    <cfRule type="expression" dxfId="783" priority="957">
      <formula>$K192="Five yearly time-step"</formula>
    </cfRule>
    <cfRule type="expression" dxfId="782" priority="956">
      <formula>K192="Choose option"</formula>
    </cfRule>
  </conditionalFormatting>
  <conditionalFormatting sqref="P193">
    <cfRule type="expression" dxfId="781" priority="939">
      <formula>$K193="Five yearly time-step"</formula>
    </cfRule>
    <cfRule type="expression" dxfId="780" priority="916">
      <formula>K193="Choose option"</formula>
    </cfRule>
    <cfRule type="expression" dxfId="779" priority="918">
      <formula>K193="Choose option"</formula>
    </cfRule>
    <cfRule type="expression" dxfId="778" priority="935">
      <formula>J193="Choose option"</formula>
    </cfRule>
    <cfRule type="expression" dxfId="777" priority="917">
      <formula>$K193="Five yearly time-step"</formula>
    </cfRule>
    <cfRule type="expression" dxfId="776" priority="937">
      <formula>$K193="Five yearly time-step"</formula>
    </cfRule>
    <cfRule type="expression" dxfId="775" priority="938">
      <formula>K193="Choose option"</formula>
    </cfRule>
    <cfRule type="expression" dxfId="774" priority="919">
      <formula>$K193="Five yearly time-step"</formula>
    </cfRule>
  </conditionalFormatting>
  <conditionalFormatting sqref="P193:P194">
    <cfRule type="expression" dxfId="773" priority="933">
      <formula>K193="Choose option"</formula>
    </cfRule>
  </conditionalFormatting>
  <conditionalFormatting sqref="P193:P195">
    <cfRule type="expression" dxfId="772" priority="941">
      <formula>$K193="Five yearly time-step"</formula>
    </cfRule>
    <cfRule type="expression" dxfId="771" priority="940">
      <formula>K193="Choose option"</formula>
    </cfRule>
  </conditionalFormatting>
  <conditionalFormatting sqref="P194">
    <cfRule type="expression" dxfId="770" priority="931">
      <formula>K194="Choose option"</formula>
    </cfRule>
    <cfRule type="expression" dxfId="769" priority="932">
      <formula>$K194="Five yearly time-step"</formula>
    </cfRule>
    <cfRule type="expression" dxfId="768" priority="934">
      <formula>$K194="Five yearly time-step"</formula>
    </cfRule>
  </conditionalFormatting>
  <conditionalFormatting sqref="P194:P195">
    <cfRule type="expression" dxfId="767" priority="927">
      <formula>K194="Choose option"</formula>
    </cfRule>
    <cfRule type="expression" dxfId="766" priority="928">
      <formula>$K194="Five yearly time-step"</formula>
    </cfRule>
  </conditionalFormatting>
  <conditionalFormatting sqref="P195">
    <cfRule type="expression" dxfId="765" priority="925">
      <formula>K195="Choose option"</formula>
    </cfRule>
    <cfRule type="expression" dxfId="764" priority="924">
      <formula>$K195="Five yearly time-step"</formula>
    </cfRule>
    <cfRule type="expression" dxfId="763" priority="923">
      <formula>K195="Choose option"</formula>
    </cfRule>
    <cfRule type="expression" dxfId="762" priority="926">
      <formula>$K195="Five yearly time-step"</formula>
    </cfRule>
  </conditionalFormatting>
  <conditionalFormatting sqref="P199">
    <cfRule type="expression" dxfId="761" priority="2747">
      <formula>K199="Choose option"</formula>
    </cfRule>
    <cfRule type="expression" dxfId="760" priority="2748">
      <formula>$K199="Five yearly time-step"</formula>
    </cfRule>
    <cfRule type="expression" dxfId="759" priority="2750">
      <formula>$K199="Five yearly time-step"</formula>
    </cfRule>
    <cfRule type="expression" dxfId="758" priority="2110">
      <formula>K199="Choose option"</formula>
    </cfRule>
    <cfRule type="expression" dxfId="757" priority="2111">
      <formula>$K199="Five yearly time-step"</formula>
    </cfRule>
    <cfRule type="expression" dxfId="756" priority="2112">
      <formula>K199="Choose option"</formula>
    </cfRule>
    <cfRule type="expression" dxfId="755" priority="2113">
      <formula>$K199="Five yearly time-step"</formula>
    </cfRule>
    <cfRule type="expression" dxfId="754" priority="2114">
      <formula>K199="Choose option"</formula>
    </cfRule>
    <cfRule type="expression" dxfId="753" priority="2115">
      <formula>$K199="Five yearly time-step"</formula>
    </cfRule>
    <cfRule type="expression" dxfId="752" priority="2116">
      <formula>K199="Choose option"</formula>
    </cfRule>
    <cfRule type="expression" dxfId="751" priority="2117">
      <formula>$K199="Five yearly time-step"</formula>
    </cfRule>
    <cfRule type="expression" dxfId="750" priority="2745">
      <formula>K199="Choose option"</formula>
    </cfRule>
    <cfRule type="expression" dxfId="749" priority="2749">
      <formula>K199="Choose option"</formula>
    </cfRule>
    <cfRule type="expression" dxfId="748" priority="2746">
      <formula>$K199="Five yearly time-step"</formula>
    </cfRule>
  </conditionalFormatting>
  <conditionalFormatting sqref="P199:P203">
    <cfRule type="expression" dxfId="747" priority="2752">
      <formula>$K199="Five yearly time-step"</formula>
    </cfRule>
    <cfRule type="expression" dxfId="746" priority="2751">
      <formula>K199="Choose option"</formula>
    </cfRule>
  </conditionalFormatting>
  <conditionalFormatting sqref="P200:P203">
    <cfRule type="expression" dxfId="745" priority="908">
      <formula>$K200="Five yearly time-step"</formula>
    </cfRule>
    <cfRule type="expression" dxfId="744" priority="3695">
      <formula>K200="Choose option"</formula>
    </cfRule>
    <cfRule type="expression" dxfId="743" priority="3696">
      <formula>$K200="Five yearly time-step"</formula>
    </cfRule>
    <cfRule type="expression" dxfId="742" priority="3697">
      <formula>K200="Choose option"</formula>
    </cfRule>
    <cfRule type="expression" dxfId="741" priority="3698">
      <formula>$K200="Five yearly time-step"</formula>
    </cfRule>
    <cfRule type="expression" dxfId="740" priority="907">
      <formula>K200="Choose option"</formula>
    </cfRule>
    <cfRule type="expression" dxfId="739" priority="906">
      <formula>$K200="Five yearly time-step"</formula>
    </cfRule>
    <cfRule type="expression" dxfId="738" priority="905">
      <formula>K200="Choose option"</formula>
    </cfRule>
    <cfRule type="expression" dxfId="737" priority="898">
      <formula>$K200="Five yearly time-step"</formula>
    </cfRule>
    <cfRule type="expression" dxfId="736" priority="897">
      <formula>K200="Choose option"</formula>
    </cfRule>
    <cfRule type="expression" dxfId="735" priority="4800">
      <formula>$K200="Five yearly time-step"</formula>
    </cfRule>
    <cfRule type="expression" dxfId="734" priority="4799">
      <formula>K200="Choose option"</formula>
    </cfRule>
  </conditionalFormatting>
  <conditionalFormatting sqref="P201">
    <cfRule type="expression" dxfId="732" priority="868">
      <formula>$K201="Five yearly time-step"</formula>
    </cfRule>
    <cfRule type="expression" dxfId="731" priority="890">
      <formula>$K201="Five yearly time-step"</formula>
    </cfRule>
    <cfRule type="expression" dxfId="730" priority="870">
      <formula>$K201="Five yearly time-step"</formula>
    </cfRule>
    <cfRule type="expression" dxfId="729" priority="889">
      <formula>K201="Choose option"</formula>
    </cfRule>
    <cfRule type="expression" dxfId="728" priority="888">
      <formula>$K201="Five yearly time-step"</formula>
    </cfRule>
    <cfRule type="expression" dxfId="727" priority="886">
      <formula>J201="Choose option"</formula>
    </cfRule>
    <cfRule type="expression" dxfId="726" priority="869">
      <formula>K201="Choose option"</formula>
    </cfRule>
    <cfRule type="expression" dxfId="725" priority="867">
      <formula>K201="Choose option"</formula>
    </cfRule>
  </conditionalFormatting>
  <conditionalFormatting sqref="P201:P202">
    <cfRule type="expression" dxfId="724" priority="884">
      <formula>K201="Choose option"</formula>
    </cfRule>
  </conditionalFormatting>
  <conditionalFormatting sqref="P201:P203">
    <cfRule type="expression" dxfId="723" priority="892">
      <formula>$K201="Five yearly time-step"</formula>
    </cfRule>
    <cfRule type="expression" dxfId="722" priority="891">
      <formula>K201="Choose option"</formula>
    </cfRule>
  </conditionalFormatting>
  <conditionalFormatting sqref="P202">
    <cfRule type="expression" dxfId="721" priority="882">
      <formula>K202="Choose option"</formula>
    </cfRule>
    <cfRule type="expression" dxfId="720" priority="883">
      <formula>$K202="Five yearly time-step"</formula>
    </cfRule>
    <cfRule type="expression" dxfId="719" priority="885">
      <formula>$K202="Five yearly time-step"</formula>
    </cfRule>
  </conditionalFormatting>
  <conditionalFormatting sqref="P202:P203">
    <cfRule type="expression" dxfId="718" priority="878">
      <formula>K202="Choose option"</formula>
    </cfRule>
    <cfRule type="expression" dxfId="717" priority="879">
      <formula>$K202="Five yearly time-step"</formula>
    </cfRule>
  </conditionalFormatting>
  <conditionalFormatting sqref="P203">
    <cfRule type="expression" dxfId="716" priority="877">
      <formula>$K203="Five yearly time-step"</formula>
    </cfRule>
    <cfRule type="expression" dxfId="715" priority="876">
      <formula>K203="Choose option"</formula>
    </cfRule>
    <cfRule type="expression" dxfId="714" priority="875">
      <formula>$K203="Five yearly time-step"</formula>
    </cfRule>
    <cfRule type="expression" dxfId="713" priority="874">
      <formula>K203="Choose option"</formula>
    </cfRule>
  </conditionalFormatting>
  <conditionalFormatting sqref="P207">
    <cfRule type="expression" dxfId="712" priority="2734">
      <formula>$K207="Five yearly time-step"</formula>
    </cfRule>
    <cfRule type="expression" dxfId="711" priority="2732">
      <formula>$K207="Five yearly time-step"</formula>
    </cfRule>
    <cfRule type="expression" dxfId="710" priority="2108">
      <formula>$K207="Five yearly time-step"</formula>
    </cfRule>
    <cfRule type="expression" dxfId="709" priority="2107">
      <formula>K207="Choose option"</formula>
    </cfRule>
    <cfRule type="expression" dxfId="708" priority="2106">
      <formula>$K207="Five yearly time-step"</formula>
    </cfRule>
    <cfRule type="expression" dxfId="707" priority="2729">
      <formula>K207="Choose option"</formula>
    </cfRule>
    <cfRule type="expression" dxfId="706" priority="2733">
      <formula>K207="Choose option"</formula>
    </cfRule>
    <cfRule type="expression" dxfId="705" priority="2102">
      <formula>$K207="Five yearly time-step"</formula>
    </cfRule>
    <cfRule type="expression" dxfId="704" priority="2101">
      <formula>K207="Choose option"</formula>
    </cfRule>
    <cfRule type="expression" dxfId="703" priority="2730">
      <formula>$K207="Five yearly time-step"</formula>
    </cfRule>
    <cfRule type="expression" dxfId="702" priority="2731">
      <formula>K207="Choose option"</formula>
    </cfRule>
    <cfRule type="expression" dxfId="701" priority="2103">
      <formula>K207="Choose option"</formula>
    </cfRule>
    <cfRule type="expression" dxfId="700" priority="2104">
      <formula>$K207="Five yearly time-step"</formula>
    </cfRule>
    <cfRule type="expression" dxfId="699" priority="2105">
      <formula>K207="Choose option"</formula>
    </cfRule>
  </conditionalFormatting>
  <conditionalFormatting sqref="P207:P211">
    <cfRule type="expression" dxfId="698" priority="2735">
      <formula>K207="Choose option"</formula>
    </cfRule>
    <cfRule type="expression" dxfId="697" priority="2736">
      <formula>$K207="Five yearly time-step"</formula>
    </cfRule>
  </conditionalFormatting>
  <conditionalFormatting sqref="P208:P211">
    <cfRule type="expression" dxfId="695" priority="3682">
      <formula>K208="Choose option"</formula>
    </cfRule>
    <cfRule type="expression" dxfId="694" priority="3683">
      <formula>$K208="Five yearly time-step"</formula>
    </cfRule>
    <cfRule type="expression" dxfId="693" priority="3685">
      <formula>$K208="Five yearly time-step"</formula>
    </cfRule>
    <cfRule type="expression" dxfId="692" priority="3684">
      <formula>K208="Choose option"</formula>
    </cfRule>
    <cfRule type="expression" dxfId="691" priority="856">
      <formula>K208="Choose option"</formula>
    </cfRule>
    <cfRule type="expression" dxfId="690" priority="4788">
      <formula>$K208="Five yearly time-step"</formula>
    </cfRule>
    <cfRule type="expression" dxfId="689" priority="4787">
      <formula>K208="Choose option"</formula>
    </cfRule>
    <cfRule type="expression" dxfId="688" priority="859">
      <formula>$K208="Five yearly time-step"</formula>
    </cfRule>
    <cfRule type="expression" dxfId="687" priority="858">
      <formula>K208="Choose option"</formula>
    </cfRule>
    <cfRule type="expression" dxfId="686" priority="857">
      <formula>$K208="Five yearly time-step"</formula>
    </cfRule>
    <cfRule type="expression" dxfId="685" priority="849">
      <formula>$K208="Five yearly time-step"</formula>
    </cfRule>
    <cfRule type="expression" dxfId="684" priority="848">
      <formula>K208="Choose option"</formula>
    </cfRule>
  </conditionalFormatting>
  <conditionalFormatting sqref="P209">
    <cfRule type="expression" dxfId="683" priority="840">
      <formula>K209="Choose option"</formula>
    </cfRule>
    <cfRule type="expression" dxfId="682" priority="841">
      <formula>$K209="Five yearly time-step"</formula>
    </cfRule>
    <cfRule type="expression" dxfId="681" priority="818">
      <formula>K209="Choose option"</formula>
    </cfRule>
    <cfRule type="expression" dxfId="680" priority="819">
      <formula>$K209="Five yearly time-step"</formula>
    </cfRule>
    <cfRule type="expression" dxfId="679" priority="820">
      <formula>K209="Choose option"</formula>
    </cfRule>
    <cfRule type="expression" dxfId="678" priority="821">
      <formula>$K209="Five yearly time-step"</formula>
    </cfRule>
    <cfRule type="expression" dxfId="677" priority="837">
      <formula>J209="Choose option"</formula>
    </cfRule>
    <cfRule type="expression" dxfId="676" priority="839">
      <formula>$K209="Five yearly time-step"</formula>
    </cfRule>
  </conditionalFormatting>
  <conditionalFormatting sqref="P209:P210">
    <cfRule type="expression" dxfId="675" priority="835">
      <formula>K209="Choose option"</formula>
    </cfRule>
  </conditionalFormatting>
  <conditionalFormatting sqref="P209:P211">
    <cfRule type="expression" dxfId="674" priority="842">
      <formula>K209="Choose option"</formula>
    </cfRule>
    <cfRule type="expression" dxfId="673" priority="843">
      <formula>$K209="Five yearly time-step"</formula>
    </cfRule>
  </conditionalFormatting>
  <conditionalFormatting sqref="P210">
    <cfRule type="expression" dxfId="672" priority="834">
      <formula>$K210="Five yearly time-step"</formula>
    </cfRule>
    <cfRule type="expression" dxfId="671" priority="833">
      <formula>K210="Choose option"</formula>
    </cfRule>
    <cfRule type="expression" dxfId="670" priority="836">
      <formula>$K210="Five yearly time-step"</formula>
    </cfRule>
  </conditionalFormatting>
  <conditionalFormatting sqref="P210:P211">
    <cfRule type="expression" dxfId="669" priority="830">
      <formula>$K210="Five yearly time-step"</formula>
    </cfRule>
    <cfRule type="expression" dxfId="668" priority="829">
      <formula>K210="Choose option"</formula>
    </cfRule>
  </conditionalFormatting>
  <conditionalFormatting sqref="P211">
    <cfRule type="expression" dxfId="667" priority="825">
      <formula>K211="Choose option"</formula>
    </cfRule>
    <cfRule type="expression" dxfId="666" priority="826">
      <formula>$K211="Five yearly time-step"</formula>
    </cfRule>
    <cfRule type="expression" dxfId="665" priority="828">
      <formula>$K211="Five yearly time-step"</formula>
    </cfRule>
    <cfRule type="expression" dxfId="664" priority="827">
      <formula>K211="Choose option"</formula>
    </cfRule>
  </conditionalFormatting>
  <conditionalFormatting sqref="P215">
    <cfRule type="expression" dxfId="663" priority="2713">
      <formula>K215="Choose option"</formula>
    </cfRule>
    <cfRule type="expression" dxfId="662" priority="2714">
      <formula>$K215="Five yearly time-step"</formula>
    </cfRule>
    <cfRule type="expression" dxfId="661" priority="2098">
      <formula>K215="Choose option"</formula>
    </cfRule>
    <cfRule type="expression" dxfId="660" priority="2096">
      <formula>K215="Choose option"</formula>
    </cfRule>
    <cfRule type="expression" dxfId="659" priority="2095">
      <formula>$K215="Five yearly time-step"</formula>
    </cfRule>
    <cfRule type="expression" dxfId="658" priority="2093">
      <formula>$K215="Five yearly time-step"</formula>
    </cfRule>
    <cfRule type="expression" dxfId="657" priority="2092">
      <formula>K215="Choose option"</formula>
    </cfRule>
    <cfRule type="expression" dxfId="656" priority="2718">
      <formula>$K215="Five yearly time-step"</formula>
    </cfRule>
    <cfRule type="expression" dxfId="655" priority="2717">
      <formula>K215="Choose option"</formula>
    </cfRule>
    <cfRule type="expression" dxfId="654" priority="2097">
      <formula>$K215="Five yearly time-step"</formula>
    </cfRule>
    <cfRule type="expression" dxfId="653" priority="2715">
      <formula>K215="Choose option"</formula>
    </cfRule>
    <cfRule type="expression" dxfId="652" priority="2716">
      <formula>$K215="Five yearly time-step"</formula>
    </cfRule>
    <cfRule type="expression" dxfId="651" priority="2099">
      <formula>$K215="Five yearly time-step"</formula>
    </cfRule>
    <cfRule type="expression" dxfId="650" priority="2094">
      <formula>K215="Choose option"</formula>
    </cfRule>
  </conditionalFormatting>
  <conditionalFormatting sqref="P215:P219">
    <cfRule type="expression" dxfId="649" priority="2720">
      <formula>$K215="Five yearly time-step"</formula>
    </cfRule>
    <cfRule type="expression" dxfId="648" priority="2719">
      <formula>K215="Choose option"</formula>
    </cfRule>
  </conditionalFormatting>
  <conditionalFormatting sqref="P216:P219">
    <cfRule type="expression" dxfId="647" priority="3671">
      <formula>K216="Choose option"</formula>
    </cfRule>
    <cfRule type="expression" dxfId="646" priority="3672">
      <formula>$K216="Five yearly time-step"</formula>
    </cfRule>
    <cfRule type="expression" dxfId="645" priority="3670">
      <formula>$K216="Five yearly time-step"</formula>
    </cfRule>
    <cfRule type="expression" dxfId="644" priority="800">
      <formula>$K216="Five yearly time-step"</formula>
    </cfRule>
    <cfRule type="expression" dxfId="643" priority="807">
      <formula>K216="Choose option"</formula>
    </cfRule>
    <cfRule type="expression" dxfId="642" priority="810">
      <formula>$K216="Five yearly time-step"</formula>
    </cfRule>
    <cfRule type="expression" dxfId="641" priority="809">
      <formula>K216="Choose option"</formula>
    </cfRule>
    <cfRule type="expression" dxfId="639" priority="4776">
      <formula>$K216="Five yearly time-step"</formula>
    </cfRule>
    <cfRule type="expression" dxfId="638" priority="4775">
      <formula>K216="Choose option"</formula>
    </cfRule>
    <cfRule type="expression" dxfId="637" priority="799">
      <formula>K216="Choose option"</formula>
    </cfRule>
    <cfRule type="expression" dxfId="636" priority="3669">
      <formula>K216="Choose option"</formula>
    </cfRule>
    <cfRule type="expression" dxfId="635" priority="808">
      <formula>$K216="Five yearly time-step"</formula>
    </cfRule>
  </conditionalFormatting>
  <conditionalFormatting sqref="P217">
    <cfRule type="expression" dxfId="634" priority="791">
      <formula>K217="Choose option"</formula>
    </cfRule>
    <cfRule type="expression" dxfId="633" priority="790">
      <formula>$K217="Five yearly time-step"</formula>
    </cfRule>
    <cfRule type="expression" dxfId="632" priority="788">
      <formula>J217="Choose option"</formula>
    </cfRule>
    <cfRule type="expression" dxfId="631" priority="769">
      <formula>K217="Choose option"</formula>
    </cfRule>
    <cfRule type="expression" dxfId="630" priority="772">
      <formula>$K217="Five yearly time-step"</formula>
    </cfRule>
    <cfRule type="expression" dxfId="629" priority="771">
      <formula>K217="Choose option"</formula>
    </cfRule>
    <cfRule type="expression" dxfId="628" priority="770">
      <formula>$K217="Five yearly time-step"</formula>
    </cfRule>
    <cfRule type="expression" dxfId="627" priority="792">
      <formula>$K217="Five yearly time-step"</formula>
    </cfRule>
  </conditionalFormatting>
  <conditionalFormatting sqref="P217:P218">
    <cfRule type="expression" dxfId="626" priority="786">
      <formula>K217="Choose option"</formula>
    </cfRule>
  </conditionalFormatting>
  <conditionalFormatting sqref="P217:P219">
    <cfRule type="expression" dxfId="625" priority="794">
      <formula>$K217="Five yearly time-step"</formula>
    </cfRule>
    <cfRule type="expression" dxfId="624" priority="793">
      <formula>K217="Choose option"</formula>
    </cfRule>
  </conditionalFormatting>
  <conditionalFormatting sqref="P218">
    <cfRule type="expression" dxfId="623" priority="787">
      <formula>$K218="Five yearly time-step"</formula>
    </cfRule>
    <cfRule type="expression" dxfId="622" priority="785">
      <formula>$K218="Five yearly time-step"</formula>
    </cfRule>
    <cfRule type="expression" dxfId="621" priority="784">
      <formula>K218="Choose option"</formula>
    </cfRule>
  </conditionalFormatting>
  <conditionalFormatting sqref="P218:P219">
    <cfRule type="expression" dxfId="620" priority="781">
      <formula>$K218="Five yearly time-step"</formula>
    </cfRule>
    <cfRule type="expression" dxfId="619" priority="780">
      <formula>K218="Choose option"</formula>
    </cfRule>
  </conditionalFormatting>
  <conditionalFormatting sqref="P219">
    <cfRule type="expression" dxfId="618" priority="779">
      <formula>$K219="Five yearly time-step"</formula>
    </cfRule>
    <cfRule type="expression" dxfId="617" priority="778">
      <formula>K219="Choose option"</formula>
    </cfRule>
    <cfRule type="expression" dxfId="616" priority="776">
      <formula>K219="Choose option"</formula>
    </cfRule>
    <cfRule type="expression" dxfId="615" priority="777">
      <formula>$K219="Five yearly time-step"</formula>
    </cfRule>
  </conditionalFormatting>
  <conditionalFormatting sqref="P223">
    <cfRule type="expression" dxfId="614" priority="2086">
      <formula>$K223="Five yearly time-step"</formula>
    </cfRule>
    <cfRule type="expression" dxfId="613" priority="2087">
      <formula>K223="Choose option"</formula>
    </cfRule>
    <cfRule type="expression" dxfId="612" priority="2088">
      <formula>$K223="Five yearly time-step"</formula>
    </cfRule>
    <cfRule type="expression" dxfId="611" priority="2089">
      <formula>K223="Choose option"</formula>
    </cfRule>
    <cfRule type="expression" dxfId="610" priority="2090">
      <formula>$K223="Five yearly time-step"</formula>
    </cfRule>
    <cfRule type="expression" dxfId="609" priority="2083">
      <formula>K223="Choose option"</formula>
    </cfRule>
    <cfRule type="expression" dxfId="608" priority="2702">
      <formula>$K223="Five yearly time-step"</formula>
    </cfRule>
    <cfRule type="expression" dxfId="607" priority="2084">
      <formula>$K223="Five yearly time-step"</formula>
    </cfRule>
    <cfRule type="expression" dxfId="606" priority="2700">
      <formula>$K223="Five yearly time-step"</formula>
    </cfRule>
    <cfRule type="expression" dxfId="605" priority="2699">
      <formula>K223="Choose option"</formula>
    </cfRule>
    <cfRule type="expression" dxfId="604" priority="2698">
      <formula>$K223="Five yearly time-step"</formula>
    </cfRule>
    <cfRule type="expression" dxfId="603" priority="2697">
      <formula>K223="Choose option"</formula>
    </cfRule>
    <cfRule type="expression" dxfId="602" priority="2085">
      <formula>K223="Choose option"</formula>
    </cfRule>
    <cfRule type="expression" dxfId="601" priority="2701">
      <formula>K223="Choose option"</formula>
    </cfRule>
  </conditionalFormatting>
  <conditionalFormatting sqref="P223:P227">
    <cfRule type="expression" dxfId="600" priority="2704">
      <formula>$K223="Five yearly time-step"</formula>
    </cfRule>
    <cfRule type="expression" dxfId="599" priority="2703">
      <formula>K223="Choose option"</formula>
    </cfRule>
  </conditionalFormatting>
  <conditionalFormatting sqref="P224:P227">
    <cfRule type="expression" dxfId="598" priority="4763">
      <formula>K224="Choose option"</formula>
    </cfRule>
    <cfRule type="expression" dxfId="597" priority="3657">
      <formula>$K224="Five yearly time-step"</formula>
    </cfRule>
    <cfRule type="expression" dxfId="596" priority="3658">
      <formula>K224="Choose option"</formula>
    </cfRule>
    <cfRule type="expression" dxfId="595" priority="3659">
      <formula>$K224="Five yearly time-step"</formula>
    </cfRule>
    <cfRule type="expression" dxfId="594" priority="3656">
      <formula>K224="Choose option"</formula>
    </cfRule>
    <cfRule type="expression" dxfId="592" priority="750">
      <formula>K224="Choose option"</formula>
    </cfRule>
    <cfRule type="expression" dxfId="591" priority="758">
      <formula>K224="Choose option"</formula>
    </cfRule>
    <cfRule type="expression" dxfId="590" priority="759">
      <formula>$K224="Five yearly time-step"</formula>
    </cfRule>
    <cfRule type="expression" dxfId="589" priority="760">
      <formula>K224="Choose option"</formula>
    </cfRule>
    <cfRule type="expression" dxfId="588" priority="761">
      <formula>$K224="Five yearly time-step"</formula>
    </cfRule>
    <cfRule type="expression" dxfId="587" priority="751">
      <formula>$K224="Five yearly time-step"</formula>
    </cfRule>
    <cfRule type="expression" dxfId="586" priority="4764">
      <formula>$K224="Five yearly time-step"</formula>
    </cfRule>
  </conditionalFormatting>
  <conditionalFormatting sqref="P225">
    <cfRule type="expression" dxfId="585" priority="743">
      <formula>$K225="Five yearly time-step"</formula>
    </cfRule>
    <cfRule type="expression" dxfId="584" priority="723">
      <formula>$K225="Five yearly time-step"</formula>
    </cfRule>
    <cfRule type="expression" dxfId="583" priority="742">
      <formula>K225="Choose option"</formula>
    </cfRule>
    <cfRule type="expression" dxfId="582" priority="741">
      <formula>$K225="Five yearly time-step"</formula>
    </cfRule>
    <cfRule type="expression" dxfId="581" priority="739">
      <formula>J225="Choose option"</formula>
    </cfRule>
    <cfRule type="expression" dxfId="580" priority="722">
      <formula>K225="Choose option"</formula>
    </cfRule>
    <cfRule type="expression" dxfId="579" priority="720">
      <formula>K225="Choose option"</formula>
    </cfRule>
    <cfRule type="expression" dxfId="578" priority="721">
      <formula>$K225="Five yearly time-step"</formula>
    </cfRule>
  </conditionalFormatting>
  <conditionalFormatting sqref="P225:P226">
    <cfRule type="expression" dxfId="577" priority="737">
      <formula>K225="Choose option"</formula>
    </cfRule>
  </conditionalFormatting>
  <conditionalFormatting sqref="P225:P227">
    <cfRule type="expression" dxfId="576" priority="745">
      <formula>$K225="Five yearly time-step"</formula>
    </cfRule>
    <cfRule type="expression" dxfId="575" priority="744">
      <formula>K225="Choose option"</formula>
    </cfRule>
  </conditionalFormatting>
  <conditionalFormatting sqref="P226">
    <cfRule type="expression" dxfId="574" priority="738">
      <formula>$K226="Five yearly time-step"</formula>
    </cfRule>
    <cfRule type="expression" dxfId="573" priority="736">
      <formula>$K226="Five yearly time-step"</formula>
    </cfRule>
    <cfRule type="expression" dxfId="572" priority="735">
      <formula>K226="Choose option"</formula>
    </cfRule>
  </conditionalFormatting>
  <conditionalFormatting sqref="P226:P227">
    <cfRule type="expression" dxfId="571" priority="732">
      <formula>$K226="Five yearly time-step"</formula>
    </cfRule>
    <cfRule type="expression" dxfId="570" priority="731">
      <formula>K226="Choose option"</formula>
    </cfRule>
  </conditionalFormatting>
  <conditionalFormatting sqref="P227">
    <cfRule type="expression" dxfId="569" priority="727">
      <formula>K227="Choose option"</formula>
    </cfRule>
    <cfRule type="expression" dxfId="568" priority="730">
      <formula>$K227="Five yearly time-step"</formula>
    </cfRule>
    <cfRule type="expression" dxfId="567" priority="729">
      <formula>K227="Choose option"</formula>
    </cfRule>
    <cfRule type="expression" dxfId="566" priority="728">
      <formula>$K227="Five yearly time-step"</formula>
    </cfRule>
  </conditionalFormatting>
  <conditionalFormatting sqref="P231">
    <cfRule type="expression" dxfId="565" priority="2076">
      <formula>K231="Choose option"</formula>
    </cfRule>
    <cfRule type="expression" dxfId="564" priority="2686">
      <formula>$K231="Five yearly time-step"</formula>
    </cfRule>
    <cfRule type="expression" dxfId="563" priority="2685">
      <formula>K231="Choose option"</formula>
    </cfRule>
    <cfRule type="expression" dxfId="562" priority="2681">
      <formula>K231="Choose option"</formula>
    </cfRule>
    <cfRule type="expression" dxfId="561" priority="2074">
      <formula>K231="Choose option"</formula>
    </cfRule>
    <cfRule type="expression" dxfId="560" priority="2075">
      <formula>$K231="Five yearly time-step"</formula>
    </cfRule>
    <cfRule type="expression" dxfId="559" priority="2077">
      <formula>$K231="Five yearly time-step"</formula>
    </cfRule>
    <cfRule type="expression" dxfId="558" priority="2078">
      <formula>K231="Choose option"</formula>
    </cfRule>
    <cfRule type="expression" dxfId="557" priority="2079">
      <formula>$K231="Five yearly time-step"</formula>
    </cfRule>
    <cfRule type="expression" dxfId="556" priority="2080">
      <formula>K231="Choose option"</formula>
    </cfRule>
    <cfRule type="expression" dxfId="555" priority="2684">
      <formula>$K231="Five yearly time-step"</formula>
    </cfRule>
    <cfRule type="expression" dxfId="554" priority="2683">
      <formula>K231="Choose option"</formula>
    </cfRule>
    <cfRule type="expression" dxfId="553" priority="2682">
      <formula>$K231="Five yearly time-step"</formula>
    </cfRule>
    <cfRule type="expression" dxfId="552" priority="2081">
      <formula>$K231="Five yearly time-step"</formula>
    </cfRule>
  </conditionalFormatting>
  <conditionalFormatting sqref="P231:P235">
    <cfRule type="expression" dxfId="551" priority="2687">
      <formula>K231="Choose option"</formula>
    </cfRule>
    <cfRule type="expression" dxfId="550" priority="2688">
      <formula>$K231="Five yearly time-step"</formula>
    </cfRule>
  </conditionalFormatting>
  <conditionalFormatting sqref="P232:P235">
    <cfRule type="expression" dxfId="549" priority="4751">
      <formula>K232="Choose option"</formula>
    </cfRule>
    <cfRule type="expression" dxfId="547" priority="712">
      <formula>$K232="Five yearly time-step"</formula>
    </cfRule>
    <cfRule type="expression" dxfId="546" priority="711">
      <formula>K232="Choose option"</formula>
    </cfRule>
    <cfRule type="expression" dxfId="545" priority="710">
      <formula>$K232="Five yearly time-step"</formula>
    </cfRule>
    <cfRule type="expression" dxfId="544" priority="709">
      <formula>K232="Choose option"</formula>
    </cfRule>
    <cfRule type="expression" dxfId="543" priority="702">
      <formula>$K232="Five yearly time-step"</formula>
    </cfRule>
    <cfRule type="expression" dxfId="542" priority="701">
      <formula>K232="Choose option"</formula>
    </cfRule>
    <cfRule type="expression" dxfId="541" priority="4752">
      <formula>$K232="Five yearly time-step"</formula>
    </cfRule>
    <cfRule type="expression" dxfId="540" priority="3643">
      <formula>K232="Choose option"</formula>
    </cfRule>
    <cfRule type="expression" dxfId="539" priority="3644">
      <formula>$K232="Five yearly time-step"</formula>
    </cfRule>
    <cfRule type="expression" dxfId="538" priority="3645">
      <formula>K232="Choose option"</formula>
    </cfRule>
    <cfRule type="expression" dxfId="537" priority="3646">
      <formula>$K232="Five yearly time-step"</formula>
    </cfRule>
  </conditionalFormatting>
  <conditionalFormatting sqref="P233">
    <cfRule type="expression" dxfId="536" priority="674">
      <formula>$K233="Five yearly time-step"</formula>
    </cfRule>
    <cfRule type="expression" dxfId="535" priority="694">
      <formula>$K233="Five yearly time-step"</formula>
    </cfRule>
    <cfRule type="expression" dxfId="534" priority="673">
      <formula>K233="Choose option"</formula>
    </cfRule>
    <cfRule type="expression" dxfId="533" priority="692">
      <formula>$K233="Five yearly time-step"</formula>
    </cfRule>
    <cfRule type="expression" dxfId="532" priority="690">
      <formula>J233="Choose option"</formula>
    </cfRule>
    <cfRule type="expression" dxfId="531" priority="693">
      <formula>K233="Choose option"</formula>
    </cfRule>
    <cfRule type="expression" dxfId="530" priority="671">
      <formula>K233="Choose option"</formula>
    </cfRule>
    <cfRule type="expression" dxfId="529" priority="672">
      <formula>$K233="Five yearly time-step"</formula>
    </cfRule>
  </conditionalFormatting>
  <conditionalFormatting sqref="P233:P234">
    <cfRule type="expression" dxfId="528" priority="688">
      <formula>K233="Choose option"</formula>
    </cfRule>
  </conditionalFormatting>
  <conditionalFormatting sqref="P233:P235">
    <cfRule type="expression" dxfId="527" priority="695">
      <formula>K233="Choose option"</formula>
    </cfRule>
    <cfRule type="expression" dxfId="526" priority="696">
      <formula>$K233="Five yearly time-step"</formula>
    </cfRule>
  </conditionalFormatting>
  <conditionalFormatting sqref="P234">
    <cfRule type="expression" dxfId="525" priority="687">
      <formula>$K234="Five yearly time-step"</formula>
    </cfRule>
    <cfRule type="expression" dxfId="524" priority="686">
      <formula>K234="Choose option"</formula>
    </cfRule>
    <cfRule type="expression" dxfId="523" priority="689">
      <formula>$K234="Five yearly time-step"</formula>
    </cfRule>
  </conditionalFormatting>
  <conditionalFormatting sqref="P234:P235">
    <cfRule type="expression" dxfId="522" priority="683">
      <formula>$K234="Five yearly time-step"</formula>
    </cfRule>
    <cfRule type="expression" dxfId="521" priority="682">
      <formula>K234="Choose option"</formula>
    </cfRule>
  </conditionalFormatting>
  <conditionalFormatting sqref="P235">
    <cfRule type="expression" dxfId="520" priority="681">
      <formula>$K235="Five yearly time-step"</formula>
    </cfRule>
    <cfRule type="expression" dxfId="519" priority="679">
      <formula>$K235="Five yearly time-step"</formula>
    </cfRule>
    <cfRule type="expression" dxfId="518" priority="680">
      <formula>K235="Choose option"</formula>
    </cfRule>
    <cfRule type="expression" dxfId="517" priority="678">
      <formula>K235="Choose option"</formula>
    </cfRule>
  </conditionalFormatting>
  <conditionalFormatting sqref="P239">
    <cfRule type="expression" dxfId="516" priority="2068">
      <formula>$K239="Five yearly time-step"</formula>
    </cfRule>
    <cfRule type="expression" dxfId="515" priority="2066">
      <formula>$K239="Five yearly time-step"</formula>
    </cfRule>
    <cfRule type="expression" dxfId="514" priority="2065">
      <formula>K239="Choose option"</formula>
    </cfRule>
    <cfRule type="expression" dxfId="513" priority="2669">
      <formula>K239="Choose option"</formula>
    </cfRule>
    <cfRule type="expression" dxfId="512" priority="2668">
      <formula>$K239="Five yearly time-step"</formula>
    </cfRule>
    <cfRule type="expression" dxfId="511" priority="2667">
      <formula>K239="Choose option"</formula>
    </cfRule>
    <cfRule type="expression" dxfId="510" priority="2666">
      <formula>$K239="Five yearly time-step"</formula>
    </cfRule>
    <cfRule type="expression" dxfId="509" priority="2665">
      <formula>K239="Choose option"</formula>
    </cfRule>
    <cfRule type="expression" dxfId="508" priority="2072">
      <formula>$K239="Five yearly time-step"</formula>
    </cfRule>
    <cfRule type="expression" dxfId="507" priority="2067">
      <formula>K239="Choose option"</formula>
    </cfRule>
    <cfRule type="expression" dxfId="506" priority="2069">
      <formula>K239="Choose option"</formula>
    </cfRule>
    <cfRule type="expression" dxfId="505" priority="2070">
      <formula>$K239="Five yearly time-step"</formula>
    </cfRule>
    <cfRule type="expression" dxfId="504" priority="2071">
      <formula>K239="Choose option"</formula>
    </cfRule>
    <cfRule type="expression" dxfId="503" priority="2670">
      <formula>$K239="Five yearly time-step"</formula>
    </cfRule>
  </conditionalFormatting>
  <conditionalFormatting sqref="P239:P243">
    <cfRule type="expression" dxfId="502" priority="2671">
      <formula>K239="Choose option"</formula>
    </cfRule>
    <cfRule type="expression" dxfId="501" priority="2672">
      <formula>$K239="Five yearly time-step"</formula>
    </cfRule>
  </conditionalFormatting>
  <conditionalFormatting sqref="P240:P243">
    <cfRule type="expression" dxfId="499" priority="663">
      <formula>$K240="Five yearly time-step"</formula>
    </cfRule>
    <cfRule type="expression" dxfId="498" priority="662">
      <formula>K240="Choose option"</formula>
    </cfRule>
    <cfRule type="expression" dxfId="497" priority="660">
      <formula>K240="Choose option"</formula>
    </cfRule>
    <cfRule type="expression" dxfId="496" priority="4739">
      <formula>K240="Choose option"</formula>
    </cfRule>
    <cfRule type="expression" dxfId="495" priority="653">
      <formula>$K240="Five yearly time-step"</formula>
    </cfRule>
    <cfRule type="expression" dxfId="494" priority="652">
      <formula>K240="Choose option"</formula>
    </cfRule>
    <cfRule type="expression" dxfId="493" priority="4740">
      <formula>$K240="Five yearly time-step"</formula>
    </cfRule>
    <cfRule type="expression" dxfId="492" priority="661">
      <formula>$K240="Five yearly time-step"</formula>
    </cfRule>
    <cfRule type="expression" dxfId="491" priority="3630">
      <formula>K240="Choose option"</formula>
    </cfRule>
    <cfRule type="expression" dxfId="490" priority="3631">
      <formula>$K240="Five yearly time-step"</formula>
    </cfRule>
    <cfRule type="expression" dxfId="489" priority="3632">
      <formula>K240="Choose option"</formula>
    </cfRule>
    <cfRule type="expression" dxfId="488" priority="3633">
      <formula>$K240="Five yearly time-step"</formula>
    </cfRule>
  </conditionalFormatting>
  <conditionalFormatting sqref="P241">
    <cfRule type="expression" dxfId="487" priority="624">
      <formula>K241="Choose option"</formula>
    </cfRule>
    <cfRule type="expression" dxfId="486" priority="625">
      <formula>$K241="Five yearly time-step"</formula>
    </cfRule>
    <cfRule type="expression" dxfId="485" priority="645">
      <formula>$K241="Five yearly time-step"</formula>
    </cfRule>
    <cfRule type="expression" dxfId="484" priority="644">
      <formula>K241="Choose option"</formula>
    </cfRule>
    <cfRule type="expression" dxfId="483" priority="643">
      <formula>$K241="Five yearly time-step"</formula>
    </cfRule>
    <cfRule type="expression" dxfId="482" priority="641">
      <formula>J241="Choose option"</formula>
    </cfRule>
    <cfRule type="expression" dxfId="481" priority="623">
      <formula>$K241="Five yearly time-step"</formula>
    </cfRule>
    <cfRule type="expression" dxfId="480" priority="622">
      <formula>K241="Choose option"</formula>
    </cfRule>
  </conditionalFormatting>
  <conditionalFormatting sqref="P241:P242">
    <cfRule type="expression" dxfId="479" priority="639">
      <formula>K241="Choose option"</formula>
    </cfRule>
  </conditionalFormatting>
  <conditionalFormatting sqref="P241:P243">
    <cfRule type="expression" dxfId="478" priority="646">
      <formula>K241="Choose option"</formula>
    </cfRule>
    <cfRule type="expression" dxfId="477" priority="647">
      <formula>$K241="Five yearly time-step"</formula>
    </cfRule>
  </conditionalFormatting>
  <conditionalFormatting sqref="P242">
    <cfRule type="expression" dxfId="476" priority="638">
      <formula>$K242="Five yearly time-step"</formula>
    </cfRule>
    <cfRule type="expression" dxfId="475" priority="640">
      <formula>$K242="Five yearly time-step"</formula>
    </cfRule>
    <cfRule type="expression" dxfId="474" priority="637">
      <formula>K242="Choose option"</formula>
    </cfRule>
  </conditionalFormatting>
  <conditionalFormatting sqref="P242:P243">
    <cfRule type="expression" dxfId="473" priority="633">
      <formula>K242="Choose option"</formula>
    </cfRule>
    <cfRule type="expression" dxfId="472" priority="634">
      <formula>$K242="Five yearly time-step"</formula>
    </cfRule>
  </conditionalFormatting>
  <conditionalFormatting sqref="P243">
    <cfRule type="expression" dxfId="471" priority="631">
      <formula>K243="Choose option"</formula>
    </cfRule>
    <cfRule type="expression" dxfId="470" priority="632">
      <formula>$K243="Five yearly time-step"</formula>
    </cfRule>
    <cfRule type="expression" dxfId="469" priority="629">
      <formula>K243="Choose option"</formula>
    </cfRule>
    <cfRule type="expression" dxfId="468" priority="630">
      <formula>$K243="Five yearly time-step"</formula>
    </cfRule>
  </conditionalFormatting>
  <conditionalFormatting sqref="P247">
    <cfRule type="expression" dxfId="467" priority="2060">
      <formula>K247="Choose option"</formula>
    </cfRule>
    <cfRule type="expression" dxfId="466" priority="2059">
      <formula>$K247="Five yearly time-step"</formula>
    </cfRule>
    <cfRule type="expression" dxfId="465" priority="2058">
      <formula>K247="Choose option"</formula>
    </cfRule>
    <cfRule type="expression" dxfId="464" priority="2654">
      <formula>$K247="Five yearly time-step"</formula>
    </cfRule>
    <cfRule type="expression" dxfId="463" priority="2653">
      <formula>K247="Choose option"</formula>
    </cfRule>
    <cfRule type="expression" dxfId="462" priority="2652">
      <formula>$K247="Five yearly time-step"</formula>
    </cfRule>
    <cfRule type="expression" dxfId="461" priority="2651">
      <formula>K247="Choose option"</formula>
    </cfRule>
    <cfRule type="expression" dxfId="460" priority="2650">
      <formula>$K247="Five yearly time-step"</formula>
    </cfRule>
    <cfRule type="expression" dxfId="459" priority="2649">
      <formula>K247="Choose option"</formula>
    </cfRule>
    <cfRule type="expression" dxfId="458" priority="2057">
      <formula>$K247="Five yearly time-step"</formula>
    </cfRule>
    <cfRule type="expression" dxfId="457" priority="2056">
      <formula>K247="Choose option"</formula>
    </cfRule>
    <cfRule type="expression" dxfId="456" priority="2063">
      <formula>$K247="Five yearly time-step"</formula>
    </cfRule>
    <cfRule type="expression" dxfId="455" priority="2062">
      <formula>K247="Choose option"</formula>
    </cfRule>
    <cfRule type="expression" dxfId="454" priority="2061">
      <formula>$K247="Five yearly time-step"</formula>
    </cfRule>
  </conditionalFormatting>
  <conditionalFormatting sqref="P247:P251">
    <cfRule type="expression" dxfId="453" priority="2655">
      <formula>K247="Choose option"</formula>
    </cfRule>
    <cfRule type="expression" dxfId="452" priority="2656">
      <formula>$K247="Five yearly time-step"</formula>
    </cfRule>
  </conditionalFormatting>
  <conditionalFormatting sqref="P248:P251">
    <cfRule type="expression" dxfId="451" priority="3617">
      <formula>K248="Choose option"</formula>
    </cfRule>
    <cfRule type="expression" dxfId="450" priority="3620">
      <formula>$K248="Five yearly time-step"</formula>
    </cfRule>
    <cfRule type="expression" dxfId="449" priority="3618">
      <formula>$K248="Five yearly time-step"</formula>
    </cfRule>
    <cfRule type="expression" dxfId="448" priority="4727">
      <formula>K248="Choose option"</formula>
    </cfRule>
    <cfRule type="expression" dxfId="447" priority="4728">
      <formula>$K248="Five yearly time-step"</formula>
    </cfRule>
    <cfRule type="expression" dxfId="446" priority="3619">
      <formula>K248="Choose option"</formula>
    </cfRule>
    <cfRule type="expression" dxfId="445" priority="614">
      <formula>$K248="Five yearly time-step"</formula>
    </cfRule>
    <cfRule type="expression" dxfId="444" priority="613">
      <formula>K248="Choose option"</formula>
    </cfRule>
    <cfRule type="expression" dxfId="443" priority="603">
      <formula>K248="Choose option"</formula>
    </cfRule>
    <cfRule type="expression" dxfId="442" priority="604">
      <formula>$K248="Five yearly time-step"</formula>
    </cfRule>
    <cfRule type="expression" dxfId="441" priority="611">
      <formula>K248="Choose option"</formula>
    </cfRule>
    <cfRule type="expression" dxfId="440" priority="612">
      <formula>$K248="Five yearly time-step"</formula>
    </cfRule>
  </conditionalFormatting>
  <conditionalFormatting sqref="P249">
    <cfRule type="expression" dxfId="438" priority="575">
      <formula>K249="Choose option"</formula>
    </cfRule>
    <cfRule type="expression" dxfId="437" priority="576">
      <formula>$K249="Five yearly time-step"</formula>
    </cfRule>
    <cfRule type="expression" dxfId="436" priority="594">
      <formula>$K249="Five yearly time-step"</formula>
    </cfRule>
    <cfRule type="expression" dxfId="435" priority="592">
      <formula>J249="Choose option"</formula>
    </cfRule>
    <cfRule type="expression" dxfId="434" priority="595">
      <formula>K249="Choose option"</formula>
    </cfRule>
    <cfRule type="expression" dxfId="433" priority="596">
      <formula>$K249="Five yearly time-step"</formula>
    </cfRule>
    <cfRule type="expression" dxfId="432" priority="573">
      <formula>K249="Choose option"</formula>
    </cfRule>
    <cfRule type="expression" dxfId="431" priority="574">
      <formula>$K249="Five yearly time-step"</formula>
    </cfRule>
  </conditionalFormatting>
  <conditionalFormatting sqref="P249:P250">
    <cfRule type="expression" dxfId="430" priority="590">
      <formula>K249="Choose option"</formula>
    </cfRule>
  </conditionalFormatting>
  <conditionalFormatting sqref="P249:P251">
    <cfRule type="expression" dxfId="429" priority="597">
      <formula>K249="Choose option"</formula>
    </cfRule>
    <cfRule type="expression" dxfId="428" priority="598">
      <formula>$K249="Five yearly time-step"</formula>
    </cfRule>
  </conditionalFormatting>
  <conditionalFormatting sqref="P250">
    <cfRule type="expression" dxfId="427" priority="591">
      <formula>$K250="Five yearly time-step"</formula>
    </cfRule>
    <cfRule type="expression" dxfId="426" priority="589">
      <formula>$K250="Five yearly time-step"</formula>
    </cfRule>
    <cfRule type="expression" dxfId="425" priority="588">
      <formula>K250="Choose option"</formula>
    </cfRule>
  </conditionalFormatting>
  <conditionalFormatting sqref="P250:P251">
    <cfRule type="expression" dxfId="424" priority="585">
      <formula>$K250="Five yearly time-step"</formula>
    </cfRule>
    <cfRule type="expression" dxfId="423" priority="584">
      <formula>K250="Choose option"</formula>
    </cfRule>
  </conditionalFormatting>
  <conditionalFormatting sqref="P251">
    <cfRule type="expression" dxfId="422" priority="583">
      <formula>$K251="Five yearly time-step"</formula>
    </cfRule>
    <cfRule type="expression" dxfId="421" priority="582">
      <formula>K251="Choose option"</formula>
    </cfRule>
    <cfRule type="expression" dxfId="420" priority="581">
      <formula>$K251="Five yearly time-step"</formula>
    </cfRule>
    <cfRule type="expression" dxfId="419" priority="580">
      <formula>K251="Choose option"</formula>
    </cfRule>
  </conditionalFormatting>
  <conditionalFormatting sqref="Q15:Q19">
    <cfRule type="expression" dxfId="388" priority="20024">
      <formula>K15="Choose option"</formula>
    </cfRule>
  </conditionalFormatting>
  <conditionalFormatting sqref="Q23">
    <cfRule type="expression" dxfId="387" priority="3125">
      <formula>K23="Choose option"</formula>
    </cfRule>
  </conditionalFormatting>
  <conditionalFormatting sqref="Q24:Q27">
    <cfRule type="expression" dxfId="386" priority="7716">
      <formula>K24="Choose option"</formula>
    </cfRule>
  </conditionalFormatting>
  <conditionalFormatting sqref="Q31">
    <cfRule type="expression" dxfId="385" priority="1979">
      <formula>K31="Choose option"</formula>
    </cfRule>
  </conditionalFormatting>
  <conditionalFormatting sqref="Q32:Q35">
    <cfRule type="expression" dxfId="384" priority="7708">
      <formula>K32="Choose option"</formula>
    </cfRule>
  </conditionalFormatting>
  <conditionalFormatting sqref="Q39">
    <cfRule type="expression" dxfId="383" priority="1977">
      <formula>K39="Choose option"</formula>
    </cfRule>
  </conditionalFormatting>
  <conditionalFormatting sqref="Q40:Q43">
    <cfRule type="expression" dxfId="382" priority="7700">
      <formula>K40="Choose option"</formula>
    </cfRule>
  </conditionalFormatting>
  <conditionalFormatting sqref="Q47">
    <cfRule type="expression" dxfId="381" priority="1975">
      <formula>K47="Choose option"</formula>
    </cfRule>
  </conditionalFormatting>
  <conditionalFormatting sqref="Q48:Q51">
    <cfRule type="expression" dxfId="380" priority="7692">
      <formula>K48="Choose option"</formula>
    </cfRule>
  </conditionalFormatting>
  <conditionalFormatting sqref="Q55">
    <cfRule type="expression" dxfId="379" priority="1973">
      <formula>K55="Choose option"</formula>
    </cfRule>
  </conditionalFormatting>
  <conditionalFormatting sqref="Q56:Q59">
    <cfRule type="expression" dxfId="378" priority="7684">
      <formula>K56="Choose option"</formula>
    </cfRule>
  </conditionalFormatting>
  <conditionalFormatting sqref="Q63">
    <cfRule type="expression" dxfId="377" priority="1971">
      <formula>K63="Choose option"</formula>
    </cfRule>
  </conditionalFormatting>
  <conditionalFormatting sqref="Q64:Q67">
    <cfRule type="expression" dxfId="376" priority="7676">
      <formula>K64="Choose option"</formula>
    </cfRule>
  </conditionalFormatting>
  <conditionalFormatting sqref="Q71">
    <cfRule type="expression" dxfId="375" priority="1969">
      <formula>K71="Choose option"</formula>
    </cfRule>
  </conditionalFormatting>
  <conditionalFormatting sqref="Q72:Q75">
    <cfRule type="expression" dxfId="374" priority="7668">
      <formula>K72="Choose option"</formula>
    </cfRule>
  </conditionalFormatting>
  <conditionalFormatting sqref="Q79">
    <cfRule type="expression" dxfId="373" priority="1967">
      <formula>K79="Choose option"</formula>
    </cfRule>
  </conditionalFormatting>
  <conditionalFormatting sqref="Q80:Q83">
    <cfRule type="expression" dxfId="372" priority="7660">
      <formula>K80="Choose option"</formula>
    </cfRule>
  </conditionalFormatting>
  <conditionalFormatting sqref="Q87">
    <cfRule type="expression" dxfId="371" priority="1965">
      <formula>K87="Choose option"</formula>
    </cfRule>
  </conditionalFormatting>
  <conditionalFormatting sqref="Q88:Q91">
    <cfRule type="expression" dxfId="370" priority="7652">
      <formula>K88="Choose option"</formula>
    </cfRule>
  </conditionalFormatting>
  <conditionalFormatting sqref="Q95">
    <cfRule type="expression" dxfId="369" priority="1963">
      <formula>K95="Choose option"</formula>
    </cfRule>
  </conditionalFormatting>
  <conditionalFormatting sqref="Q96:Q99">
    <cfRule type="expression" dxfId="368" priority="7644">
      <formula>K96="Choose option"</formula>
    </cfRule>
  </conditionalFormatting>
  <conditionalFormatting sqref="Q103">
    <cfRule type="expression" dxfId="367" priority="1961">
      <formula>K103="Choose option"</formula>
    </cfRule>
  </conditionalFormatting>
  <conditionalFormatting sqref="Q104:Q107">
    <cfRule type="expression" dxfId="366" priority="7636">
      <formula>K104="Choose option"</formula>
    </cfRule>
  </conditionalFormatting>
  <conditionalFormatting sqref="Q111">
    <cfRule type="expression" dxfId="365" priority="1959">
      <formula>K111="Choose option"</formula>
    </cfRule>
  </conditionalFormatting>
  <conditionalFormatting sqref="Q112:Q115">
    <cfRule type="expression" dxfId="364" priority="7628">
      <formula>K112="Choose option"</formula>
    </cfRule>
  </conditionalFormatting>
  <conditionalFormatting sqref="Q119">
    <cfRule type="expression" dxfId="363" priority="1957">
      <formula>K119="Choose option"</formula>
    </cfRule>
  </conditionalFormatting>
  <conditionalFormatting sqref="Q120:Q123">
    <cfRule type="expression" dxfId="362" priority="7620">
      <formula>K120="Choose option"</formula>
    </cfRule>
  </conditionalFormatting>
  <conditionalFormatting sqref="Q127">
    <cfRule type="expression" dxfId="361" priority="1955">
      <formula>K127="Choose option"</formula>
    </cfRule>
  </conditionalFormatting>
  <conditionalFormatting sqref="Q128:Q131">
    <cfRule type="expression" dxfId="360" priority="7612">
      <formula>K128="Choose option"</formula>
    </cfRule>
  </conditionalFormatting>
  <conditionalFormatting sqref="Q135">
    <cfRule type="expression" dxfId="359" priority="1953">
      <formula>K135="Choose option"</formula>
    </cfRule>
  </conditionalFormatting>
  <conditionalFormatting sqref="Q136:Q139">
    <cfRule type="expression" dxfId="358" priority="7604">
      <formula>K136="Choose option"</formula>
    </cfRule>
  </conditionalFormatting>
  <conditionalFormatting sqref="Q143">
    <cfRule type="expression" dxfId="357" priority="1951">
      <formula>K143="Choose option"</formula>
    </cfRule>
  </conditionalFormatting>
  <conditionalFormatting sqref="Q144:Q147">
    <cfRule type="expression" dxfId="356" priority="7596">
      <formula>K144="Choose option"</formula>
    </cfRule>
  </conditionalFormatting>
  <conditionalFormatting sqref="Q151">
    <cfRule type="expression" dxfId="355" priority="1949">
      <formula>K151="Choose option"</formula>
    </cfRule>
  </conditionalFormatting>
  <conditionalFormatting sqref="Q152:Q155">
    <cfRule type="expression" dxfId="354" priority="7588">
      <formula>K152="Choose option"</formula>
    </cfRule>
  </conditionalFormatting>
  <conditionalFormatting sqref="Q159">
    <cfRule type="expression" dxfId="353" priority="1946">
      <formula>K159="Choose option"</formula>
    </cfRule>
  </conditionalFormatting>
  <conditionalFormatting sqref="Q160:Q163">
    <cfRule type="expression" dxfId="352" priority="7580">
      <formula>K160="Choose option"</formula>
    </cfRule>
  </conditionalFormatting>
  <conditionalFormatting sqref="Q167">
    <cfRule type="expression" dxfId="351" priority="1942">
      <formula>K167="Choose option"</formula>
    </cfRule>
  </conditionalFormatting>
  <conditionalFormatting sqref="Q168:Q171">
    <cfRule type="expression" dxfId="350" priority="7572">
      <formula>K168="Choose option"</formula>
    </cfRule>
  </conditionalFormatting>
  <conditionalFormatting sqref="Q175">
    <cfRule type="expression" dxfId="349" priority="1938">
      <formula>K175="Choose option"</formula>
    </cfRule>
  </conditionalFormatting>
  <conditionalFormatting sqref="Q176:Q179">
    <cfRule type="expression" dxfId="348" priority="7564">
      <formula>K176="Choose option"</formula>
    </cfRule>
  </conditionalFormatting>
  <conditionalFormatting sqref="Q183">
    <cfRule type="expression" dxfId="347" priority="1934">
      <formula>K183="Choose option"</formula>
    </cfRule>
  </conditionalFormatting>
  <conditionalFormatting sqref="Q184:Q187">
    <cfRule type="expression" dxfId="346" priority="7556">
      <formula>K184="Choose option"</formula>
    </cfRule>
  </conditionalFormatting>
  <conditionalFormatting sqref="Q191">
    <cfRule type="expression" dxfId="345" priority="1930">
      <formula>K191="Choose option"</formula>
    </cfRule>
  </conditionalFormatting>
  <conditionalFormatting sqref="Q192:Q195">
    <cfRule type="expression" dxfId="344" priority="7548">
      <formula>K192="Choose option"</formula>
    </cfRule>
  </conditionalFormatting>
  <conditionalFormatting sqref="Q199">
    <cfRule type="expression" dxfId="343" priority="1926">
      <formula>K199="Choose option"</formula>
    </cfRule>
  </conditionalFormatting>
  <conditionalFormatting sqref="Q200:Q203">
    <cfRule type="expression" dxfId="342" priority="7540">
      <formula>K200="Choose option"</formula>
    </cfRule>
  </conditionalFormatting>
  <conditionalFormatting sqref="Q207">
    <cfRule type="expression" dxfId="341" priority="1922">
      <formula>K207="Choose option"</formula>
    </cfRule>
  </conditionalFormatting>
  <conditionalFormatting sqref="Q208:Q211">
    <cfRule type="expression" dxfId="340" priority="7532">
      <formula>K208="Choose option"</formula>
    </cfRule>
  </conditionalFormatting>
  <conditionalFormatting sqref="Q215">
    <cfRule type="expression" dxfId="339" priority="1918">
      <formula>K215="Choose option"</formula>
    </cfRule>
  </conditionalFormatting>
  <conditionalFormatting sqref="Q216:Q219">
    <cfRule type="expression" dxfId="338" priority="7524">
      <formula>K216="Choose option"</formula>
    </cfRule>
  </conditionalFormatting>
  <conditionalFormatting sqref="Q223">
    <cfRule type="expression" dxfId="337" priority="1914">
      <formula>K223="Choose option"</formula>
    </cfRule>
  </conditionalFormatting>
  <conditionalFormatting sqref="Q224:Q227">
    <cfRule type="expression" dxfId="336" priority="7516">
      <formula>K224="Choose option"</formula>
    </cfRule>
  </conditionalFormatting>
  <conditionalFormatting sqref="Q231">
    <cfRule type="expression" dxfId="335" priority="1910">
      <formula>K231="Choose option"</formula>
    </cfRule>
  </conditionalFormatting>
  <conditionalFormatting sqref="Q232:Q235">
    <cfRule type="expression" dxfId="334" priority="7508">
      <formula>K232="Choose option"</formula>
    </cfRule>
  </conditionalFormatting>
  <conditionalFormatting sqref="Q239">
    <cfRule type="expression" dxfId="333" priority="1906">
      <formula>K239="Choose option"</formula>
    </cfRule>
  </conditionalFormatting>
  <conditionalFormatting sqref="Q240:Q243">
    <cfRule type="expression" dxfId="332" priority="7492">
      <formula>K240="Choose option"</formula>
    </cfRule>
  </conditionalFormatting>
  <conditionalFormatting sqref="Q247">
    <cfRule type="expression" dxfId="331" priority="1902">
      <formula>K247="Choose option"</formula>
    </cfRule>
  </conditionalFormatting>
  <conditionalFormatting sqref="Q248:Q251">
    <cfRule type="expression" dxfId="330" priority="7500">
      <formula>K248="Choose option"</formula>
    </cfRule>
  </conditionalFormatting>
  <conditionalFormatting sqref="R15">
    <cfRule type="expression" dxfId="329" priority="23811">
      <formula>K15="Choose option"</formula>
    </cfRule>
    <cfRule type="cellIs" dxfId="328" priority="23804" operator="lessThan">
      <formula>0</formula>
    </cfRule>
  </conditionalFormatting>
  <conditionalFormatting sqref="R15:R19 R23:R27 R31:R35 R39:R43 R47:R51 R55:R59 R63:R67 R71:R75 R79:R83 R87:R91 R95:R99 R103:R107 R111:R115 R119:R123 R127:R131 R135:R139 R143:R147 R151:R155 R159:R163 R167:R171 R175:R179 R183:R187 R191:R195 R199:R203 R207:R211 R215:R219 R223:R227 R231:R235 R239:R243 R247:R251">
    <cfRule type="expression" dxfId="327" priority="23763">
      <formula>AND(K15="Five yearly time-step",#REF!="")</formula>
    </cfRule>
  </conditionalFormatting>
  <conditionalFormatting sqref="R16:R19">
    <cfRule type="expression" dxfId="326" priority="20022">
      <formula>K16="Choose option"</formula>
    </cfRule>
    <cfRule type="cellIs" dxfId="325" priority="20021" operator="lessThan">
      <formula>0</formula>
    </cfRule>
  </conditionalFormatting>
  <conditionalFormatting sqref="R23">
    <cfRule type="cellIs" dxfId="324" priority="2593" operator="lessThan">
      <formula>0</formula>
    </cfRule>
    <cfRule type="expression" dxfId="323" priority="2594">
      <formula>K23="Choose option"</formula>
    </cfRule>
  </conditionalFormatting>
  <conditionalFormatting sqref="R24:R27">
    <cfRule type="cellIs" dxfId="322" priority="7474" operator="lessThan">
      <formula>0</formula>
    </cfRule>
    <cfRule type="expression" dxfId="321" priority="7475">
      <formula>K24="Choose option"</formula>
    </cfRule>
  </conditionalFormatting>
  <conditionalFormatting sqref="R31">
    <cfRule type="expression" dxfId="320" priority="2527">
      <formula>K31="Choose option"</formula>
    </cfRule>
    <cfRule type="cellIs" dxfId="319" priority="2526" operator="lessThan">
      <formula>0</formula>
    </cfRule>
    <cfRule type="cellIs" dxfId="318" priority="2597" operator="lessThan">
      <formula>0</formula>
    </cfRule>
    <cfRule type="expression" dxfId="317" priority="2598">
      <formula>K31="Choose option"</formula>
    </cfRule>
  </conditionalFormatting>
  <conditionalFormatting sqref="R32:R35">
    <cfRule type="expression" dxfId="316" priority="7459">
      <formula>K32="Choose option"</formula>
    </cfRule>
    <cfRule type="cellIs" dxfId="315" priority="7458" operator="lessThan">
      <formula>0</formula>
    </cfRule>
  </conditionalFormatting>
  <conditionalFormatting sqref="R39">
    <cfRule type="expression" dxfId="314" priority="2602">
      <formula>K39="Choose option"</formula>
    </cfRule>
    <cfRule type="expression" dxfId="313" priority="2524">
      <formula>K39="Choose option"</formula>
    </cfRule>
    <cfRule type="cellIs" dxfId="312" priority="2601" operator="lessThan">
      <formula>0</formula>
    </cfRule>
    <cfRule type="cellIs" dxfId="311" priority="2523" operator="lessThan">
      <formula>0</formula>
    </cfRule>
  </conditionalFormatting>
  <conditionalFormatting sqref="R40:R43">
    <cfRule type="expression" dxfId="310" priority="7443">
      <formula>K40="Choose option"</formula>
    </cfRule>
    <cfRule type="cellIs" dxfId="309" priority="7442" operator="lessThan">
      <formula>0</formula>
    </cfRule>
  </conditionalFormatting>
  <conditionalFormatting sqref="R47">
    <cfRule type="cellIs" dxfId="308" priority="2520" operator="lessThan">
      <formula>0</formula>
    </cfRule>
    <cfRule type="expression" dxfId="307" priority="2521">
      <formula>K47="Choose option"</formula>
    </cfRule>
    <cfRule type="expression" dxfId="306" priority="2606">
      <formula>K47="Choose option"</formula>
    </cfRule>
    <cfRule type="cellIs" dxfId="305" priority="2605" operator="lessThan">
      <formula>0</formula>
    </cfRule>
  </conditionalFormatting>
  <conditionalFormatting sqref="R48:R51">
    <cfRule type="cellIs" dxfId="304" priority="7426" operator="lessThan">
      <formula>0</formula>
    </cfRule>
    <cfRule type="expression" dxfId="303" priority="7427">
      <formula>K48="Choose option"</formula>
    </cfRule>
  </conditionalFormatting>
  <conditionalFormatting sqref="R55">
    <cfRule type="cellIs" dxfId="302" priority="2517" operator="lessThan">
      <formula>0</formula>
    </cfRule>
    <cfRule type="expression" dxfId="301" priority="2518">
      <formula>K55="Choose option"</formula>
    </cfRule>
    <cfRule type="cellIs" dxfId="300" priority="2609" operator="lessThan">
      <formula>0</formula>
    </cfRule>
    <cfRule type="expression" dxfId="299" priority="2610">
      <formula>K55="Choose option"</formula>
    </cfRule>
  </conditionalFormatting>
  <conditionalFormatting sqref="R56:R59">
    <cfRule type="cellIs" dxfId="298" priority="7410" operator="lessThan">
      <formula>0</formula>
    </cfRule>
    <cfRule type="expression" dxfId="297" priority="7411">
      <formula>K56="Choose option"</formula>
    </cfRule>
  </conditionalFormatting>
  <conditionalFormatting sqref="R63">
    <cfRule type="expression" dxfId="296" priority="2515">
      <formula>K63="Choose option"</formula>
    </cfRule>
    <cfRule type="cellIs" dxfId="295" priority="2613" operator="lessThan">
      <formula>0</formula>
    </cfRule>
    <cfRule type="cellIs" dxfId="294" priority="2514" operator="lessThan">
      <formula>0</formula>
    </cfRule>
    <cfRule type="expression" dxfId="293" priority="2614">
      <formula>K63="Choose option"</formula>
    </cfRule>
  </conditionalFormatting>
  <conditionalFormatting sqref="R64:R67">
    <cfRule type="expression" dxfId="292" priority="7395">
      <formula>K64="Choose option"</formula>
    </cfRule>
    <cfRule type="cellIs" dxfId="291" priority="7394" operator="lessThan">
      <formula>0</formula>
    </cfRule>
  </conditionalFormatting>
  <conditionalFormatting sqref="R71">
    <cfRule type="cellIs" dxfId="290" priority="2617" operator="lessThan">
      <formula>0</formula>
    </cfRule>
    <cfRule type="cellIs" dxfId="289" priority="2511" operator="lessThan">
      <formula>0</formula>
    </cfRule>
    <cfRule type="expression" dxfId="288" priority="2512">
      <formula>K71="Choose option"</formula>
    </cfRule>
    <cfRule type="expression" dxfId="287" priority="2618">
      <formula>K71="Choose option"</formula>
    </cfRule>
  </conditionalFormatting>
  <conditionalFormatting sqref="R72:R75">
    <cfRule type="cellIs" dxfId="286" priority="7378" operator="lessThan">
      <formula>0</formula>
    </cfRule>
    <cfRule type="expression" dxfId="285" priority="7379">
      <formula>K72="Choose option"</formula>
    </cfRule>
  </conditionalFormatting>
  <conditionalFormatting sqref="R79">
    <cfRule type="cellIs" dxfId="284" priority="2508" operator="lessThan">
      <formula>0</formula>
    </cfRule>
    <cfRule type="expression" dxfId="283" priority="2509">
      <formula>K79="Choose option"</formula>
    </cfRule>
    <cfRule type="cellIs" dxfId="282" priority="2621" operator="lessThan">
      <formula>0</formula>
    </cfRule>
    <cfRule type="expression" dxfId="281" priority="2622">
      <formula>K79="Choose option"</formula>
    </cfRule>
  </conditionalFormatting>
  <conditionalFormatting sqref="R80:R83">
    <cfRule type="cellIs" dxfId="280" priority="7362" operator="lessThan">
      <formula>0</formula>
    </cfRule>
    <cfRule type="expression" dxfId="279" priority="7363">
      <formula>K80="Choose option"</formula>
    </cfRule>
  </conditionalFormatting>
  <conditionalFormatting sqref="R87">
    <cfRule type="expression" dxfId="278" priority="2506">
      <formula>K87="Choose option"</formula>
    </cfRule>
    <cfRule type="cellIs" dxfId="277" priority="2505" operator="lessThan">
      <formula>0</formula>
    </cfRule>
    <cfRule type="cellIs" dxfId="276" priority="2625" operator="lessThan">
      <formula>0</formula>
    </cfRule>
    <cfRule type="expression" dxfId="275" priority="2626">
      <formula>K87="Choose option"</formula>
    </cfRule>
  </conditionalFormatting>
  <conditionalFormatting sqref="R88:R91">
    <cfRule type="expression" dxfId="274" priority="7347">
      <formula>K88="Choose option"</formula>
    </cfRule>
    <cfRule type="cellIs" dxfId="273" priority="7346" operator="lessThan">
      <formula>0</formula>
    </cfRule>
  </conditionalFormatting>
  <conditionalFormatting sqref="R95">
    <cfRule type="expression" dxfId="272" priority="2630">
      <formula>K95="Choose option"</formula>
    </cfRule>
    <cfRule type="expression" dxfId="271" priority="2503">
      <formula>K95="Choose option"</formula>
    </cfRule>
    <cfRule type="cellIs" dxfId="270" priority="2502" operator="lessThan">
      <formula>0</formula>
    </cfRule>
    <cfRule type="cellIs" dxfId="269" priority="2629" operator="lessThan">
      <formula>0</formula>
    </cfRule>
  </conditionalFormatting>
  <conditionalFormatting sqref="R96:R99">
    <cfRule type="expression" dxfId="268" priority="7331">
      <formula>K96="Choose option"</formula>
    </cfRule>
    <cfRule type="cellIs" dxfId="267" priority="7330" operator="lessThan">
      <formula>0</formula>
    </cfRule>
  </conditionalFormatting>
  <conditionalFormatting sqref="R103">
    <cfRule type="cellIs" dxfId="266" priority="2499" operator="lessThan">
      <formula>0</formula>
    </cfRule>
    <cfRule type="cellIs" dxfId="265" priority="2633" operator="lessThan">
      <formula>0</formula>
    </cfRule>
    <cfRule type="expression" dxfId="264" priority="2634">
      <formula>K103="Choose option"</formula>
    </cfRule>
    <cfRule type="expression" dxfId="263" priority="2500">
      <formula>K103="Choose option"</formula>
    </cfRule>
  </conditionalFormatting>
  <conditionalFormatting sqref="R104:R107">
    <cfRule type="expression" dxfId="262" priority="7315">
      <formula>K104="Choose option"</formula>
    </cfRule>
    <cfRule type="cellIs" dxfId="261" priority="7314" operator="lessThan">
      <formula>0</formula>
    </cfRule>
  </conditionalFormatting>
  <conditionalFormatting sqref="R111">
    <cfRule type="expression" dxfId="260" priority="2638">
      <formula>K111="Choose option"</formula>
    </cfRule>
    <cfRule type="cellIs" dxfId="259" priority="2637" operator="lessThan">
      <formula>0</formula>
    </cfRule>
    <cfRule type="expression" dxfId="258" priority="2497">
      <formula>K111="Choose option"</formula>
    </cfRule>
    <cfRule type="cellIs" dxfId="257" priority="2496" operator="lessThan">
      <formula>0</formula>
    </cfRule>
  </conditionalFormatting>
  <conditionalFormatting sqref="R112:R115">
    <cfRule type="expression" dxfId="256" priority="7299">
      <formula>K112="Choose option"</formula>
    </cfRule>
    <cfRule type="cellIs" dxfId="255" priority="7298" operator="lessThan">
      <formula>0</formula>
    </cfRule>
  </conditionalFormatting>
  <conditionalFormatting sqref="R119">
    <cfRule type="cellIs" dxfId="254" priority="2641" operator="lessThan">
      <formula>0</formula>
    </cfRule>
    <cfRule type="expression" dxfId="253" priority="2494">
      <formula>K119="Choose option"</formula>
    </cfRule>
    <cfRule type="cellIs" dxfId="252" priority="2493" operator="lessThan">
      <formula>0</formula>
    </cfRule>
    <cfRule type="expression" dxfId="251" priority="2642">
      <formula>K119="Choose option"</formula>
    </cfRule>
  </conditionalFormatting>
  <conditionalFormatting sqref="R120:R123">
    <cfRule type="expression" dxfId="250" priority="7283">
      <formula>K120="Choose option"</formula>
    </cfRule>
    <cfRule type="cellIs" dxfId="249" priority="7282" operator="lessThan">
      <formula>0</formula>
    </cfRule>
  </conditionalFormatting>
  <conditionalFormatting sqref="R127">
    <cfRule type="cellIs" dxfId="248" priority="2645" operator="lessThan">
      <formula>0</formula>
    </cfRule>
    <cfRule type="expression" dxfId="247" priority="2491">
      <formula>K127="Choose option"</formula>
    </cfRule>
    <cfRule type="expression" dxfId="246" priority="2646">
      <formula>K127="Choose option"</formula>
    </cfRule>
    <cfRule type="cellIs" dxfId="245" priority="2490" operator="lessThan">
      <formula>0</formula>
    </cfRule>
  </conditionalFormatting>
  <conditionalFormatting sqref="R128:R131">
    <cfRule type="cellIs" dxfId="244" priority="7266" operator="lessThan">
      <formula>0</formula>
    </cfRule>
    <cfRule type="expression" dxfId="243" priority="7267">
      <formula>K128="Choose option"</formula>
    </cfRule>
  </conditionalFormatting>
  <conditionalFormatting sqref="R135">
    <cfRule type="expression" dxfId="242" priority="3156">
      <formula>K135="Choose option"</formula>
    </cfRule>
    <cfRule type="cellIs" dxfId="241" priority="3155" operator="lessThan">
      <formula>0</formula>
    </cfRule>
    <cfRule type="expression" dxfId="240" priority="2488">
      <formula>K135="Choose option"</formula>
    </cfRule>
    <cfRule type="cellIs" dxfId="239" priority="2487" operator="lessThan">
      <formula>0</formula>
    </cfRule>
  </conditionalFormatting>
  <conditionalFormatting sqref="R136:R139">
    <cfRule type="expression" dxfId="238" priority="7251">
      <formula>K136="Choose option"</formula>
    </cfRule>
    <cfRule type="cellIs" dxfId="237" priority="7250" operator="lessThan">
      <formula>0</formula>
    </cfRule>
  </conditionalFormatting>
  <conditionalFormatting sqref="R143">
    <cfRule type="cellIs" dxfId="236" priority="2484" operator="lessThan">
      <formula>0</formula>
    </cfRule>
    <cfRule type="expression" dxfId="235" priority="2485">
      <formula>K143="Choose option"</formula>
    </cfRule>
    <cfRule type="cellIs" dxfId="234" priority="2589" operator="lessThan">
      <formula>0</formula>
    </cfRule>
    <cfRule type="expression" dxfId="233" priority="2590">
      <formula>K143="Choose option"</formula>
    </cfRule>
  </conditionalFormatting>
  <conditionalFormatting sqref="R144:R147">
    <cfRule type="expression" dxfId="232" priority="7235">
      <formula>K144="Choose option"</formula>
    </cfRule>
    <cfRule type="cellIs" dxfId="231" priority="7234" operator="lessThan">
      <formula>0</formula>
    </cfRule>
  </conditionalFormatting>
  <conditionalFormatting sqref="R151">
    <cfRule type="expression" dxfId="230" priority="2482">
      <formula>K151="Choose option"</formula>
    </cfRule>
    <cfRule type="expression" dxfId="229" priority="2586">
      <formula>K151="Choose option"</formula>
    </cfRule>
    <cfRule type="cellIs" dxfId="228" priority="2585" operator="lessThan">
      <formula>0</formula>
    </cfRule>
    <cfRule type="cellIs" dxfId="227" priority="2481" operator="lessThan">
      <formula>0</formula>
    </cfRule>
  </conditionalFormatting>
  <conditionalFormatting sqref="R152:R155">
    <cfRule type="expression" dxfId="226" priority="7219">
      <formula>K152="Choose option"</formula>
    </cfRule>
    <cfRule type="cellIs" dxfId="225" priority="7218" operator="lessThan">
      <formula>0</formula>
    </cfRule>
  </conditionalFormatting>
  <conditionalFormatting sqref="R159">
    <cfRule type="cellIs" dxfId="224" priority="2478" operator="lessThan">
      <formula>0</formula>
    </cfRule>
    <cfRule type="expression" dxfId="223" priority="2582">
      <formula>K159="Choose option"</formula>
    </cfRule>
    <cfRule type="expression" dxfId="222" priority="2479">
      <formula>K159="Choose option"</formula>
    </cfRule>
    <cfRule type="cellIs" dxfId="221" priority="2581" operator="lessThan">
      <formula>0</formula>
    </cfRule>
  </conditionalFormatting>
  <conditionalFormatting sqref="R160:R163">
    <cfRule type="cellIs" dxfId="220" priority="7202" operator="lessThan">
      <formula>0</formula>
    </cfRule>
    <cfRule type="expression" dxfId="219" priority="7203">
      <formula>K160="Choose option"</formula>
    </cfRule>
  </conditionalFormatting>
  <conditionalFormatting sqref="R167">
    <cfRule type="cellIs" dxfId="218" priority="2475" operator="lessThan">
      <formula>0</formula>
    </cfRule>
    <cfRule type="expression" dxfId="217" priority="2578">
      <formula>K167="Choose option"</formula>
    </cfRule>
    <cfRule type="cellIs" dxfId="216" priority="2577" operator="lessThan">
      <formula>0</formula>
    </cfRule>
    <cfRule type="expression" dxfId="215" priority="2476">
      <formula>K167="Choose option"</formula>
    </cfRule>
  </conditionalFormatting>
  <conditionalFormatting sqref="R168:R171">
    <cfRule type="cellIs" dxfId="214" priority="7186" operator="lessThan">
      <formula>0</formula>
    </cfRule>
    <cfRule type="expression" dxfId="213" priority="7187">
      <formula>K168="Choose option"</formula>
    </cfRule>
  </conditionalFormatting>
  <conditionalFormatting sqref="R175">
    <cfRule type="expression" dxfId="212" priority="2473">
      <formula>K175="Choose option"</formula>
    </cfRule>
    <cfRule type="cellIs" dxfId="211" priority="2472" operator="lessThan">
      <formula>0</formula>
    </cfRule>
    <cfRule type="expression" dxfId="210" priority="2574">
      <formula>K175="Choose option"</formula>
    </cfRule>
    <cfRule type="cellIs" dxfId="209" priority="2573" operator="lessThan">
      <formula>0</formula>
    </cfRule>
  </conditionalFormatting>
  <conditionalFormatting sqref="R176:R179">
    <cfRule type="cellIs" dxfId="208" priority="7170" operator="lessThan">
      <formula>0</formula>
    </cfRule>
    <cfRule type="expression" dxfId="207" priority="7171">
      <formula>K176="Choose option"</formula>
    </cfRule>
  </conditionalFormatting>
  <conditionalFormatting sqref="R183">
    <cfRule type="expression" dxfId="206" priority="2470">
      <formula>K183="Choose option"</formula>
    </cfRule>
    <cfRule type="cellIs" dxfId="205" priority="2469" operator="lessThan">
      <formula>0</formula>
    </cfRule>
    <cfRule type="expression" dxfId="204" priority="2570">
      <formula>K183="Choose option"</formula>
    </cfRule>
    <cfRule type="cellIs" dxfId="203" priority="2569" operator="lessThan">
      <formula>0</formula>
    </cfRule>
  </conditionalFormatting>
  <conditionalFormatting sqref="R184:R187">
    <cfRule type="expression" dxfId="202" priority="7155">
      <formula>K184="Choose option"</formula>
    </cfRule>
    <cfRule type="cellIs" dxfId="201" priority="7154" operator="lessThan">
      <formula>0</formula>
    </cfRule>
  </conditionalFormatting>
  <conditionalFormatting sqref="R191">
    <cfRule type="expression" dxfId="200" priority="2467">
      <formula>K191="Choose option"</formula>
    </cfRule>
    <cfRule type="expression" dxfId="199" priority="2566">
      <formula>K191="Choose option"</formula>
    </cfRule>
    <cfRule type="cellIs" dxfId="198" priority="2565" operator="lessThan">
      <formula>0</formula>
    </cfRule>
    <cfRule type="cellIs" dxfId="197" priority="2466" operator="lessThan">
      <formula>0</formula>
    </cfRule>
  </conditionalFormatting>
  <conditionalFormatting sqref="R192:R195">
    <cfRule type="expression" dxfId="196" priority="7139">
      <formula>K192="Choose option"</formula>
    </cfRule>
    <cfRule type="cellIs" dxfId="195" priority="7138" operator="lessThan">
      <formula>0</formula>
    </cfRule>
  </conditionalFormatting>
  <conditionalFormatting sqref="R199">
    <cfRule type="expression" dxfId="194" priority="2562">
      <formula>K199="Choose option"</formula>
    </cfRule>
    <cfRule type="cellIs" dxfId="193" priority="2561" operator="lessThan">
      <formula>0</formula>
    </cfRule>
    <cfRule type="expression" dxfId="192" priority="2464">
      <formula>K199="Choose option"</formula>
    </cfRule>
    <cfRule type="cellIs" dxfId="191" priority="2463" operator="lessThan">
      <formula>0</formula>
    </cfRule>
  </conditionalFormatting>
  <conditionalFormatting sqref="R200:R203">
    <cfRule type="cellIs" dxfId="190" priority="7122" operator="lessThan">
      <formula>0</formula>
    </cfRule>
    <cfRule type="expression" dxfId="189" priority="7123">
      <formula>K200="Choose option"</formula>
    </cfRule>
  </conditionalFormatting>
  <conditionalFormatting sqref="R207">
    <cfRule type="expression" dxfId="188" priority="2554">
      <formula>K207="Choose option"</formula>
    </cfRule>
    <cfRule type="cellIs" dxfId="187" priority="2553" operator="lessThan">
      <formula>0</formula>
    </cfRule>
    <cfRule type="expression" dxfId="186" priority="2461">
      <formula>K207="Choose option"</formula>
    </cfRule>
    <cfRule type="cellIs" dxfId="185" priority="2460" operator="lessThan">
      <formula>0</formula>
    </cfRule>
  </conditionalFormatting>
  <conditionalFormatting sqref="R208:R211">
    <cfRule type="expression" dxfId="184" priority="7107">
      <formula>K208="Choose option"</formula>
    </cfRule>
    <cfRule type="cellIs" dxfId="183" priority="7106" operator="lessThan">
      <formula>0</formula>
    </cfRule>
  </conditionalFormatting>
  <conditionalFormatting sqref="R215">
    <cfRule type="cellIs" dxfId="182" priority="2549" operator="lessThan">
      <formula>0</formula>
    </cfRule>
    <cfRule type="expression" dxfId="181" priority="2550">
      <formula>K215="Choose option"</formula>
    </cfRule>
    <cfRule type="expression" dxfId="180" priority="2458">
      <formula>K215="Choose option"</formula>
    </cfRule>
    <cfRule type="cellIs" dxfId="179" priority="2457" operator="lessThan">
      <formula>0</formula>
    </cfRule>
  </conditionalFormatting>
  <conditionalFormatting sqref="R216:R219">
    <cfRule type="expression" dxfId="178" priority="7091">
      <formula>K216="Choose option"</formula>
    </cfRule>
    <cfRule type="cellIs" dxfId="177" priority="7090" operator="lessThan">
      <formula>0</formula>
    </cfRule>
  </conditionalFormatting>
  <conditionalFormatting sqref="R223">
    <cfRule type="cellIs" dxfId="176" priority="2545" operator="lessThan">
      <formula>0</formula>
    </cfRule>
    <cfRule type="expression" dxfId="175" priority="2546">
      <formula>K223="Choose option"</formula>
    </cfRule>
    <cfRule type="expression" dxfId="174" priority="2455">
      <formula>K223="Choose option"</formula>
    </cfRule>
    <cfRule type="cellIs" dxfId="173" priority="2454" operator="lessThan">
      <formula>0</formula>
    </cfRule>
  </conditionalFormatting>
  <conditionalFormatting sqref="R224:R227">
    <cfRule type="expression" dxfId="172" priority="7075">
      <formula>K224="Choose option"</formula>
    </cfRule>
    <cfRule type="cellIs" dxfId="171" priority="7074" operator="lessThan">
      <formula>0</formula>
    </cfRule>
  </conditionalFormatting>
  <conditionalFormatting sqref="R231">
    <cfRule type="cellIs" dxfId="170" priority="2541" operator="lessThan">
      <formula>0</formula>
    </cfRule>
    <cfRule type="expression" dxfId="169" priority="2542">
      <formula>K231="Choose option"</formula>
    </cfRule>
    <cfRule type="expression" dxfId="168" priority="2452">
      <formula>K231="Choose option"</formula>
    </cfRule>
    <cfRule type="cellIs" dxfId="167" priority="2451" operator="lessThan">
      <formula>0</formula>
    </cfRule>
  </conditionalFormatting>
  <conditionalFormatting sqref="R232:R235">
    <cfRule type="expression" dxfId="166" priority="7059">
      <formula>K232="Choose option"</formula>
    </cfRule>
    <cfRule type="cellIs" dxfId="165" priority="7058" operator="lessThan">
      <formula>0</formula>
    </cfRule>
  </conditionalFormatting>
  <conditionalFormatting sqref="R239">
    <cfRule type="expression" dxfId="164" priority="2538">
      <formula>K239="Choose option"</formula>
    </cfRule>
    <cfRule type="cellIs" dxfId="163" priority="2537" operator="lessThan">
      <formula>0</formula>
    </cfRule>
    <cfRule type="expression" dxfId="162" priority="2449">
      <formula>K239="Choose option"</formula>
    </cfRule>
    <cfRule type="cellIs" dxfId="161" priority="2448" operator="lessThan">
      <formula>0</formula>
    </cfRule>
  </conditionalFormatting>
  <conditionalFormatting sqref="R240:R243">
    <cfRule type="expression" dxfId="160" priority="7043">
      <formula>K240="Choose option"</formula>
    </cfRule>
    <cfRule type="cellIs" dxfId="159" priority="7042" operator="lessThan">
      <formula>0</formula>
    </cfRule>
  </conditionalFormatting>
  <conditionalFormatting sqref="R247">
    <cfRule type="cellIs" dxfId="158" priority="2533" operator="lessThan">
      <formula>0</formula>
    </cfRule>
    <cfRule type="expression" dxfId="157" priority="2534">
      <formula>K247="Choose option"</formula>
    </cfRule>
    <cfRule type="expression" dxfId="156" priority="2446">
      <formula>K247="Choose option"</formula>
    </cfRule>
    <cfRule type="cellIs" dxfId="155" priority="2445" operator="lessThan">
      <formula>0</formula>
    </cfRule>
  </conditionalFormatting>
  <conditionalFormatting sqref="R248:R251">
    <cfRule type="cellIs" dxfId="154" priority="7026" operator="lessThan">
      <formula>0</formula>
    </cfRule>
    <cfRule type="expression" dxfId="153" priority="7027">
      <formula>K248="Choose option"</formula>
    </cfRule>
  </conditionalFormatting>
  <conditionalFormatting sqref="T15">
    <cfRule type="expression" dxfId="152" priority="23761">
      <formula>M15="Choose option"</formula>
    </cfRule>
    <cfRule type="expression" dxfId="151" priority="23759">
      <formula>AND($K$15="Five yearly time-step",#REF!="")</formula>
    </cfRule>
    <cfRule type="cellIs" dxfId="150" priority="23760" operator="lessThan">
      <formula>0</formula>
    </cfRule>
  </conditionalFormatting>
  <conditionalFormatting sqref="T23">
    <cfRule type="expression" dxfId="149" priority="4383">
      <formula>M23="Choose option"</formula>
    </cfRule>
    <cfRule type="cellIs" dxfId="148" priority="4382" operator="lessThan">
      <formula>0</formula>
    </cfRule>
    <cfRule type="expression" dxfId="147" priority="4381">
      <formula>AND($K$15="Five yearly time-step",#REF!="")</formula>
    </cfRule>
  </conditionalFormatting>
  <conditionalFormatting sqref="T31">
    <cfRule type="expression" dxfId="146" priority="4297">
      <formula>M31="Choose option"</formula>
    </cfRule>
    <cfRule type="cellIs" dxfId="145" priority="4296" operator="lessThan">
      <formula>0</formula>
    </cfRule>
    <cfRule type="expression" dxfId="144" priority="4295">
      <formula>AND($K$15="Five yearly time-step",#REF!="")</formula>
    </cfRule>
  </conditionalFormatting>
  <conditionalFormatting sqref="T39">
    <cfRule type="cellIs" dxfId="143" priority="4292" operator="lessThan">
      <formula>0</formula>
    </cfRule>
    <cfRule type="expression" dxfId="142" priority="4291">
      <formula>AND($K$15="Five yearly time-step",#REF!="")</formula>
    </cfRule>
    <cfRule type="expression" dxfId="141" priority="4293">
      <formula>M39="Choose option"</formula>
    </cfRule>
  </conditionalFormatting>
  <conditionalFormatting sqref="T47">
    <cfRule type="expression" dxfId="140" priority="4287">
      <formula>AND($K$15="Five yearly time-step",#REF!="")</formula>
    </cfRule>
    <cfRule type="cellIs" dxfId="139" priority="4288" operator="lessThan">
      <formula>0</formula>
    </cfRule>
    <cfRule type="expression" dxfId="138" priority="4289">
      <formula>M47="Choose option"</formula>
    </cfRule>
  </conditionalFormatting>
  <conditionalFormatting sqref="T55">
    <cfRule type="expression" dxfId="137" priority="4283">
      <formula>AND($K$15="Five yearly time-step",#REF!="")</formula>
    </cfRule>
    <cfRule type="cellIs" dxfId="136" priority="4284" operator="lessThan">
      <formula>0</formula>
    </cfRule>
    <cfRule type="expression" dxfId="135" priority="4285">
      <formula>M55="Choose option"</formula>
    </cfRule>
  </conditionalFormatting>
  <conditionalFormatting sqref="T63">
    <cfRule type="expression" dxfId="134" priority="4279">
      <formula>AND($K$15="Five yearly time-step",#REF!="")</formula>
    </cfRule>
    <cfRule type="cellIs" dxfId="133" priority="4280" operator="lessThan">
      <formula>0</formula>
    </cfRule>
    <cfRule type="expression" dxfId="132" priority="4281">
      <formula>M63="Choose option"</formula>
    </cfRule>
  </conditionalFormatting>
  <conditionalFormatting sqref="T71">
    <cfRule type="cellIs" dxfId="131" priority="4276" operator="lessThan">
      <formula>0</formula>
    </cfRule>
    <cfRule type="expression" dxfId="130" priority="4275">
      <formula>AND($K$15="Five yearly time-step",#REF!="")</formula>
    </cfRule>
    <cfRule type="expression" dxfId="129" priority="4277">
      <formula>M71="Choose option"</formula>
    </cfRule>
  </conditionalFormatting>
  <conditionalFormatting sqref="T79">
    <cfRule type="expression" dxfId="128" priority="4273">
      <formula>M79="Choose option"</formula>
    </cfRule>
    <cfRule type="expression" dxfId="127" priority="4271">
      <formula>AND($K$15="Five yearly time-step",#REF!="")</formula>
    </cfRule>
    <cfRule type="cellIs" dxfId="126" priority="4272" operator="lessThan">
      <formula>0</formula>
    </cfRule>
  </conditionalFormatting>
  <conditionalFormatting sqref="T87">
    <cfRule type="expression" dxfId="125" priority="4269">
      <formula>M87="Choose option"</formula>
    </cfRule>
    <cfRule type="cellIs" dxfId="124" priority="4268" operator="lessThan">
      <formula>0</formula>
    </cfRule>
    <cfRule type="expression" dxfId="123" priority="4267">
      <formula>AND($K$15="Five yearly time-step",#REF!="")</formula>
    </cfRule>
  </conditionalFormatting>
  <conditionalFormatting sqref="T95">
    <cfRule type="expression" dxfId="121" priority="9577">
      <formula>M95="Choose option"</formula>
    </cfRule>
    <cfRule type="cellIs" dxfId="120" priority="9576" operator="lessThan">
      <formula>0</formula>
    </cfRule>
    <cfRule type="expression" dxfId="119" priority="9575">
      <formula>AND($K$15="Five yearly time-step",#REF!="")</formula>
    </cfRule>
  </conditionalFormatting>
  <conditionalFormatting sqref="T103">
    <cfRule type="expression" dxfId="118" priority="9571">
      <formula>AND($K$15="Five yearly time-step",#REF!="")</formula>
    </cfRule>
    <cfRule type="cellIs" dxfId="117" priority="9572" operator="lessThan">
      <formula>0</formula>
    </cfRule>
    <cfRule type="expression" dxfId="116" priority="9573">
      <formula>M103="Choose option"</formula>
    </cfRule>
  </conditionalFormatting>
  <conditionalFormatting sqref="T111">
    <cfRule type="expression" dxfId="115" priority="9567">
      <formula>AND($K$15="Five yearly time-step",#REF!="")</formula>
    </cfRule>
    <cfRule type="cellIs" dxfId="114" priority="9568" operator="lessThan">
      <formula>0</formula>
    </cfRule>
    <cfRule type="expression" dxfId="113" priority="9569">
      <formula>M111="Choose option"</formula>
    </cfRule>
  </conditionalFormatting>
  <conditionalFormatting sqref="T119">
    <cfRule type="expression" dxfId="112" priority="9565">
      <formula>M119="Choose option"</formula>
    </cfRule>
    <cfRule type="expression" dxfId="111" priority="9563">
      <formula>AND($K$15="Five yearly time-step",#REF!="")</formula>
    </cfRule>
    <cfRule type="cellIs" dxfId="110" priority="9564" operator="lessThan">
      <formula>0</formula>
    </cfRule>
  </conditionalFormatting>
  <conditionalFormatting sqref="T127">
    <cfRule type="expression" dxfId="109" priority="9559">
      <formula>AND($K$15="Five yearly time-step",#REF!="")</formula>
    </cfRule>
    <cfRule type="cellIs" dxfId="108" priority="9560" operator="lessThan">
      <formula>0</formula>
    </cfRule>
    <cfRule type="expression" dxfId="107" priority="9561">
      <formula>M127="Choose option"</formula>
    </cfRule>
  </conditionalFormatting>
  <conditionalFormatting sqref="T135">
    <cfRule type="expression" dxfId="106" priority="9557">
      <formula>M135="Choose option"</formula>
    </cfRule>
    <cfRule type="cellIs" dxfId="105" priority="9556" operator="lessThan">
      <formula>0</formula>
    </cfRule>
    <cfRule type="expression" dxfId="104" priority="9555">
      <formula>AND($K$15="Five yearly time-step",#REF!="")</formula>
    </cfRule>
  </conditionalFormatting>
  <conditionalFormatting sqref="T143">
    <cfRule type="cellIs" dxfId="103" priority="9552" operator="lessThan">
      <formula>0</formula>
    </cfRule>
    <cfRule type="expression" dxfId="102" priority="9553">
      <formula>M143="Choose option"</formula>
    </cfRule>
    <cfRule type="expression" dxfId="101" priority="9551">
      <formula>AND($K$15="Five yearly time-step",#REF!="")</formula>
    </cfRule>
  </conditionalFormatting>
  <conditionalFormatting sqref="T151">
    <cfRule type="expression" dxfId="100" priority="9547">
      <formula>AND($K$15="Five yearly time-step",#REF!="")</formula>
    </cfRule>
    <cfRule type="expression" dxfId="99" priority="9549">
      <formula>M151="Choose option"</formula>
    </cfRule>
    <cfRule type="cellIs" dxfId="98" priority="9548" operator="lessThan">
      <formula>0</formula>
    </cfRule>
  </conditionalFormatting>
  <conditionalFormatting sqref="T159">
    <cfRule type="expression" dxfId="97" priority="9545">
      <formula>M159="Choose option"</formula>
    </cfRule>
    <cfRule type="cellIs" dxfId="96" priority="9544" operator="lessThan">
      <formula>0</formula>
    </cfRule>
    <cfRule type="expression" dxfId="95" priority="9543">
      <formula>AND($K$15="Five yearly time-step",#REF!="")</formula>
    </cfRule>
  </conditionalFormatting>
  <conditionalFormatting sqref="T167">
    <cfRule type="expression" dxfId="94" priority="3">
      <formula>M167="Choose option"</formula>
    </cfRule>
    <cfRule type="expression" dxfId="93" priority="9541">
      <formula>M167="Choose option"</formula>
    </cfRule>
    <cfRule type="cellIs" dxfId="92" priority="9540" operator="lessThan">
      <formula>0</formula>
    </cfRule>
    <cfRule type="expression" dxfId="91" priority="1">
      <formula>AND($K$15="Five yearly time-step",#REF!="")</formula>
    </cfRule>
    <cfRule type="cellIs" dxfId="90" priority="2" operator="lessThan">
      <formula>0</formula>
    </cfRule>
  </conditionalFormatting>
  <conditionalFormatting sqref="T175">
    <cfRule type="expression" dxfId="89" priority="9537">
      <formula>M175="Choose option"</formula>
    </cfRule>
    <cfRule type="cellIs" dxfId="88" priority="9536" operator="lessThan">
      <formula>0</formula>
    </cfRule>
    <cfRule type="expression" dxfId="87" priority="9535">
      <formula>AND($K$15="Five yearly time-step",#REF!="")</formula>
    </cfRule>
  </conditionalFormatting>
  <conditionalFormatting sqref="T183">
    <cfRule type="expression" dxfId="86" priority="4265">
      <formula>M183="Choose option"</formula>
    </cfRule>
    <cfRule type="cellIs" dxfId="85" priority="4264" operator="lessThan">
      <formula>0</formula>
    </cfRule>
    <cfRule type="expression" dxfId="84" priority="4263">
      <formula>AND($K$15="Five yearly time-step",#REF!="")</formula>
    </cfRule>
  </conditionalFormatting>
  <conditionalFormatting sqref="T191">
    <cfRule type="expression" dxfId="83" priority="4261">
      <formula>M191="Choose option"</formula>
    </cfRule>
    <cfRule type="cellIs" dxfId="82" priority="4260" operator="lessThan">
      <formula>0</formula>
    </cfRule>
    <cfRule type="expression" dxfId="81" priority="4259">
      <formula>AND($K$15="Five yearly time-step",#REF!="")</formula>
    </cfRule>
  </conditionalFormatting>
  <conditionalFormatting sqref="T199">
    <cfRule type="expression" dxfId="80" priority="4257">
      <formula>M199="Choose option"</formula>
    </cfRule>
    <cfRule type="cellIs" dxfId="79" priority="4256" operator="lessThan">
      <formula>0</formula>
    </cfRule>
    <cfRule type="expression" dxfId="78" priority="4255">
      <formula>AND($K$15="Five yearly time-step",#REF!="")</formula>
    </cfRule>
  </conditionalFormatting>
  <conditionalFormatting sqref="T207">
    <cfRule type="expression" dxfId="77" priority="4253">
      <formula>M207="Choose option"</formula>
    </cfRule>
    <cfRule type="cellIs" dxfId="76" priority="4252" operator="lessThan">
      <formula>0</formula>
    </cfRule>
    <cfRule type="expression" dxfId="75" priority="4251">
      <formula>AND($K$15="Five yearly time-step",#REF!="")</formula>
    </cfRule>
  </conditionalFormatting>
  <conditionalFormatting sqref="T215">
    <cfRule type="expression" dxfId="74" priority="4247">
      <formula>AND($K$15="Five yearly time-step",#REF!="")</formula>
    </cfRule>
    <cfRule type="cellIs" dxfId="73" priority="4248" operator="lessThan">
      <formula>0</formula>
    </cfRule>
    <cfRule type="expression" dxfId="72" priority="4249">
      <formula>M215="Choose option"</formula>
    </cfRule>
  </conditionalFormatting>
  <conditionalFormatting sqref="T223">
    <cfRule type="expression" dxfId="71" priority="4243">
      <formula>AND($K$15="Five yearly time-step",#REF!="")</formula>
    </cfRule>
    <cfRule type="cellIs" dxfId="70" priority="4244" operator="lessThan">
      <formula>0</formula>
    </cfRule>
    <cfRule type="expression" dxfId="69" priority="4245">
      <formula>M223="Choose option"</formula>
    </cfRule>
  </conditionalFormatting>
  <conditionalFormatting sqref="T231">
    <cfRule type="cellIs" dxfId="68" priority="4240" operator="lessThan">
      <formula>0</formula>
    </cfRule>
    <cfRule type="expression" dxfId="67" priority="4241">
      <formula>M231="Choose option"</formula>
    </cfRule>
    <cfRule type="expression" dxfId="66" priority="4239">
      <formula>AND($K$15="Five yearly time-step",#REF!="")</formula>
    </cfRule>
  </conditionalFormatting>
  <conditionalFormatting sqref="T239">
    <cfRule type="cellIs" dxfId="65" priority="4236" operator="lessThan">
      <formula>0</formula>
    </cfRule>
    <cfRule type="expression" dxfId="64" priority="4237">
      <formula>M239="Choose option"</formula>
    </cfRule>
    <cfRule type="expression" dxfId="63" priority="4235">
      <formula>AND($K$15="Five yearly time-step",#REF!="")</formula>
    </cfRule>
  </conditionalFormatting>
  <conditionalFormatting sqref="T247">
    <cfRule type="expression" dxfId="62" priority="4231">
      <formula>AND($K$15="Five yearly time-step",#REF!="")</formula>
    </cfRule>
    <cfRule type="cellIs" dxfId="61" priority="4232" operator="lessThan">
      <formula>0</formula>
    </cfRule>
    <cfRule type="expression" dxfId="60" priority="4233">
      <formula>M247="Choose option"</formula>
    </cfRule>
  </conditionalFormatting>
  <conditionalFormatting sqref="AF15">
    <cfRule type="expression" dxfId="59" priority="23887">
      <formula>L15="Single end point"</formula>
    </cfRule>
  </conditionalFormatting>
  <conditionalFormatting sqref="AF23">
    <cfRule type="expression" dxfId="58" priority="23493">
      <formula>L23="Single end point"</formula>
    </cfRule>
  </conditionalFormatting>
  <conditionalFormatting sqref="AF31">
    <cfRule type="expression" dxfId="57" priority="23359">
      <formula>L31="Single end point"</formula>
    </cfRule>
  </conditionalFormatting>
  <conditionalFormatting sqref="AF39">
    <cfRule type="expression" dxfId="56" priority="23292">
      <formula>L39="Single end point"</formula>
    </cfRule>
  </conditionalFormatting>
  <conditionalFormatting sqref="AF47">
    <cfRule type="expression" dxfId="55" priority="23225">
      <formula>L47="Single end point"</formula>
    </cfRule>
  </conditionalFormatting>
  <conditionalFormatting sqref="AF55">
    <cfRule type="expression" dxfId="54" priority="23158">
      <formula>L55="Single end point"</formula>
    </cfRule>
  </conditionalFormatting>
  <conditionalFormatting sqref="AF63">
    <cfRule type="expression" dxfId="53" priority="23091">
      <formula>L63="Single end point"</formula>
    </cfRule>
  </conditionalFormatting>
  <conditionalFormatting sqref="AF71">
    <cfRule type="expression" dxfId="52" priority="23024">
      <formula>L71="Single end point"</formula>
    </cfRule>
  </conditionalFormatting>
  <conditionalFormatting sqref="AF79">
    <cfRule type="expression" dxfId="51" priority="22957">
      <formula>L79="Single end point"</formula>
    </cfRule>
  </conditionalFormatting>
  <conditionalFormatting sqref="AF87">
    <cfRule type="expression" dxfId="50" priority="22890">
      <formula>L87="Single end point"</formula>
    </cfRule>
  </conditionalFormatting>
  <conditionalFormatting sqref="AF95">
    <cfRule type="expression" dxfId="49" priority="22823">
      <formula>L95="Single end point"</formula>
    </cfRule>
  </conditionalFormatting>
  <conditionalFormatting sqref="AF103">
    <cfRule type="expression" dxfId="48" priority="22689">
      <formula>L103="Single end point"</formula>
    </cfRule>
  </conditionalFormatting>
  <conditionalFormatting sqref="AF111">
    <cfRule type="expression" dxfId="47" priority="22622">
      <formula>L111="Single end point"</formula>
    </cfRule>
  </conditionalFormatting>
  <conditionalFormatting sqref="AF119">
    <cfRule type="expression" dxfId="46" priority="22555">
      <formula>L119="Single end point"</formula>
    </cfRule>
  </conditionalFormatting>
  <conditionalFormatting sqref="AF127">
    <cfRule type="expression" dxfId="45" priority="22488">
      <formula>L127="Single end point"</formula>
    </cfRule>
  </conditionalFormatting>
  <conditionalFormatting sqref="AF135">
    <cfRule type="expression" dxfId="44" priority="22421">
      <formula>L135="Single end point"</formula>
    </cfRule>
  </conditionalFormatting>
  <conditionalFormatting sqref="AF143">
    <cfRule type="expression" dxfId="43" priority="22354">
      <formula>L143="Single end point"</formula>
    </cfRule>
  </conditionalFormatting>
  <conditionalFormatting sqref="AF151">
    <cfRule type="expression" dxfId="42" priority="22287">
      <formula>L151="Single end point"</formula>
    </cfRule>
  </conditionalFormatting>
  <conditionalFormatting sqref="AF159">
    <cfRule type="expression" dxfId="41" priority="22220">
      <formula>L159="Single end point"</formula>
    </cfRule>
  </conditionalFormatting>
  <conditionalFormatting sqref="AF167">
    <cfRule type="expression" dxfId="40" priority="22153">
      <formula>L167="Single end point"</formula>
    </cfRule>
  </conditionalFormatting>
  <conditionalFormatting sqref="AF175">
    <cfRule type="expression" dxfId="39" priority="22086">
      <formula>L175="Single end point"</formula>
    </cfRule>
  </conditionalFormatting>
  <conditionalFormatting sqref="AF183">
    <cfRule type="expression" dxfId="38" priority="22019">
      <formula>L183="Single end point"</formula>
    </cfRule>
  </conditionalFormatting>
  <conditionalFormatting sqref="AF191">
    <cfRule type="expression" dxfId="37" priority="21952">
      <formula>L191="Single end point"</formula>
    </cfRule>
  </conditionalFormatting>
  <conditionalFormatting sqref="AF199">
    <cfRule type="expression" dxfId="36" priority="21885">
      <formula>L199="Single end point"</formula>
    </cfRule>
  </conditionalFormatting>
  <conditionalFormatting sqref="AF207">
    <cfRule type="expression" dxfId="35" priority="21818">
      <formula>L207="Single end point"</formula>
    </cfRule>
  </conditionalFormatting>
  <conditionalFormatting sqref="AF215">
    <cfRule type="expression" dxfId="34" priority="21751">
      <formula>L215="Single end point"</formula>
    </cfRule>
  </conditionalFormatting>
  <conditionalFormatting sqref="AF223">
    <cfRule type="expression" dxfId="33" priority="21684">
      <formula>L223="Single end point"</formula>
    </cfRule>
  </conditionalFormatting>
  <conditionalFormatting sqref="AF231">
    <cfRule type="expression" dxfId="32" priority="21617">
      <formula>L231="Single end point"</formula>
    </cfRule>
  </conditionalFormatting>
  <conditionalFormatting sqref="AF239">
    <cfRule type="expression" dxfId="31" priority="21550">
      <formula>L239="Single end point"</formula>
    </cfRule>
  </conditionalFormatting>
  <conditionalFormatting sqref="AF247">
    <cfRule type="expression" dxfId="30" priority="21483">
      <formula>L247="Single end point"</formula>
    </cfRule>
  </conditionalFormatting>
  <conditionalFormatting sqref="BF15">
    <cfRule type="expression" dxfId="29" priority="23861">
      <formula>L15="Single end point"</formula>
    </cfRule>
  </conditionalFormatting>
  <conditionalFormatting sqref="BF23">
    <cfRule type="expression" dxfId="28" priority="23492">
      <formula>L23="Single end point"</formula>
    </cfRule>
  </conditionalFormatting>
  <conditionalFormatting sqref="BF31">
    <cfRule type="expression" dxfId="27" priority="23358">
      <formula>L31="Single end point"</formula>
    </cfRule>
  </conditionalFormatting>
  <conditionalFormatting sqref="BF39">
    <cfRule type="expression" dxfId="26" priority="23291">
      <formula>L39="Single end point"</formula>
    </cfRule>
  </conditionalFormatting>
  <conditionalFormatting sqref="BF47">
    <cfRule type="expression" dxfId="25" priority="23224">
      <formula>L47="Single end point"</formula>
    </cfRule>
  </conditionalFormatting>
  <conditionalFormatting sqref="BF55">
    <cfRule type="expression" dxfId="24" priority="23157">
      <formula>L55="Single end point"</formula>
    </cfRule>
  </conditionalFormatting>
  <conditionalFormatting sqref="BF63">
    <cfRule type="expression" dxfId="23" priority="23090">
      <formula>L63="Single end point"</formula>
    </cfRule>
  </conditionalFormatting>
  <conditionalFormatting sqref="BF71">
    <cfRule type="expression" dxfId="22" priority="23023">
      <formula>L71="Single end point"</formula>
    </cfRule>
  </conditionalFormatting>
  <conditionalFormatting sqref="BF79">
    <cfRule type="expression" dxfId="21" priority="22956">
      <formula>L79="Single end point"</formula>
    </cfRule>
  </conditionalFormatting>
  <conditionalFormatting sqref="BF87">
    <cfRule type="expression" dxfId="20" priority="22889">
      <formula>L87="Single end point"</formula>
    </cfRule>
  </conditionalFormatting>
  <conditionalFormatting sqref="BF95">
    <cfRule type="expression" dxfId="19" priority="22822">
      <formula>L95="Single end point"</formula>
    </cfRule>
  </conditionalFormatting>
  <conditionalFormatting sqref="BF103">
    <cfRule type="expression" dxfId="18" priority="22688">
      <formula>L103="Single end point"</formula>
    </cfRule>
  </conditionalFormatting>
  <conditionalFormatting sqref="BF111">
    <cfRule type="expression" dxfId="17" priority="22621">
      <formula>L111="Single end point"</formula>
    </cfRule>
  </conditionalFormatting>
  <conditionalFormatting sqref="BF119">
    <cfRule type="expression" dxfId="16" priority="22554">
      <formula>L119="Single end point"</formula>
    </cfRule>
  </conditionalFormatting>
  <conditionalFormatting sqref="BF127">
    <cfRule type="expression" dxfId="15" priority="22487">
      <formula>L127="Single end point"</formula>
    </cfRule>
  </conditionalFormatting>
  <conditionalFormatting sqref="BF135">
    <cfRule type="expression" dxfId="14" priority="22420">
      <formula>L135="Single end point"</formula>
    </cfRule>
  </conditionalFormatting>
  <conditionalFormatting sqref="BF143">
    <cfRule type="expression" dxfId="13" priority="22353">
      <formula>L143="Single end point"</formula>
    </cfRule>
  </conditionalFormatting>
  <conditionalFormatting sqref="BF151">
    <cfRule type="expression" dxfId="12" priority="22286">
      <formula>L151="Single end point"</formula>
    </cfRule>
  </conditionalFormatting>
  <conditionalFormatting sqref="BF159">
    <cfRule type="expression" dxfId="11" priority="22219">
      <formula>L159="Single end point"</formula>
    </cfRule>
  </conditionalFormatting>
  <conditionalFormatting sqref="BF167">
    <cfRule type="expression" dxfId="10" priority="22152">
      <formula>L167="Single end point"</formula>
    </cfRule>
  </conditionalFormatting>
  <conditionalFormatting sqref="BF175">
    <cfRule type="expression" dxfId="9" priority="22085">
      <formula>L175="Single end point"</formula>
    </cfRule>
  </conditionalFormatting>
  <conditionalFormatting sqref="BF183">
    <cfRule type="expression" dxfId="8" priority="22018">
      <formula>L183="Single end point"</formula>
    </cfRule>
  </conditionalFormatting>
  <conditionalFormatting sqref="BF191">
    <cfRule type="expression" dxfId="7" priority="21951">
      <formula>L191="Single end point"</formula>
    </cfRule>
  </conditionalFormatting>
  <conditionalFormatting sqref="BF199">
    <cfRule type="expression" dxfId="6" priority="21884">
      <formula>L199="Single end point"</formula>
    </cfRule>
  </conditionalFormatting>
  <conditionalFormatting sqref="BF207">
    <cfRule type="expression" dxfId="5" priority="21817">
      <formula>L207="Single end point"</formula>
    </cfRule>
  </conditionalFormatting>
  <conditionalFormatting sqref="BF215">
    <cfRule type="expression" dxfId="4" priority="21750">
      <formula>L215="Single end point"</formula>
    </cfRule>
  </conditionalFormatting>
  <conditionalFormatting sqref="BF223">
    <cfRule type="expression" dxfId="3" priority="21683">
      <formula>L223="Single end point"</formula>
    </cfRule>
  </conditionalFormatting>
  <conditionalFormatting sqref="BF231">
    <cfRule type="expression" dxfId="2" priority="21616">
      <formula>L231="Single end point"</formula>
    </cfRule>
  </conditionalFormatting>
  <conditionalFormatting sqref="BF239">
    <cfRule type="expression" dxfId="1" priority="21549">
      <formula>L239="Single end point"</formula>
    </cfRule>
  </conditionalFormatting>
  <conditionalFormatting sqref="BF247">
    <cfRule type="expression" dxfId="0" priority="21482">
      <formula>L247="Single end point"</formula>
    </cfRule>
  </conditionalFormatting>
  <dataValidations xWindow="733" yWindow="451" count="11">
    <dataValidation allowBlank="1" showErrorMessage="1" sqref="BF15 AF15 BF23 AF23 BF31 AF31 BF39 AF39 BF47 AF47 BF55 AF55 BF63 AF63 BF71 AF71 BF79 AF79 BF87 AF87 BF95 AF95 BF103 AF103 BF111 AF111 BF119 AF119 BF127 AF127 BF135 AF135 BF143 AF143 BF151 AF151 BF159 AF159 BF167 AF167 BF175 AF175 BF183 AF183 BF191 AF191 BF199 AF199 BF207 AF207 BF215 AF215 BF223 AF223 BF231 AF231 BF239 AF239 BF247 AF247 C15 C23 C31 C39 C47 C55 C63 C71 C79 C87 C95 C103 C111 C119 C127 C135 C143 C151 C159 C167 C175 C183 C191 C199 C207 C215 C223 C231 C239 C247 P231:R235 P15:R19 P199:R203 P31:R35 P39:R43 P47:R51 P55:R59 P63:R67 P71:R75 P79:R83 P87:R91 P95:R99 P103:R107 P111:R115 P119:R123 P127:R131 P23:R27 P135:R139 P143:R147 P151:R155 P159:R163 P167:R171 P175:R179 P183:R187 P191:R195 P239:R243 P207:R211 P215:R219 P223:R227 P247:R251 E223:G227 E15:G19 E239:G243 E231:G235 E23:G27 E31:G35 E39:G43 E47:G51 E55:G59 E63:G67 E71:G75 E79:G83 E87:G91 E95:G99 E103:G107 E111:G115 E119:G123 E127:G131 E135:G139 E143:G147 E151:G155 E159:G163 E167:G171 E175:G179 E183:G187 E191:G195 E199:G203 E207:G211 E215:G219 E247:G251 C11" xr:uid="{00000000-0002-0000-0500-000000000000}"/>
    <dataValidation operator="equal" allowBlank="1" showInputMessage="1" showErrorMessage="1" sqref="B11 B15 B23 B31 B39 B47 B55 B63 B71 B79 B87 B95 B103 B111 B119 B127 B135 B143 B151 B159 B167 B175 B183 B191 B199 B207 B215 B223 B231 B239 B247" xr:uid="{00000000-0002-0000-0500-000001000000}"/>
    <dataValidation allowBlank="1" showInputMessage="1" showErrorMessage="1" promptTitle="Time preference discount rate" prompt="Enter a discrete discount rate if the time of the proposed Impact  will occur in the future.  " sqref="E11" xr:uid="{00000000-0002-0000-0500-000003000000}"/>
    <dataValidation allowBlank="1" showInputMessage="1" showErrorMessage="1" promptTitle="Proposed Offset activity" prompt="Enter brief detail of the Offset Action (management intervention) proposed." sqref="H15:H19 H23:H27 H31:H35 H39:H43 H47:H51 H55:H59 H63:H67 H71:H75 H79:H83 H87:H91 H95:H99 H103:H107 H111:H115 H119:H123 H127:H131 H135:H139 H143:H147 H151:H155 H159:H163 H167:H171 H175:H179 H183:H187 H191:H195 H199:H203 H207:H211 H215:H219 H223:H227 H231:H235 H239:H243 H247:H251" xr:uid="{00000000-0002-0000-0500-000004000000}"/>
    <dataValidation allowBlank="1" showInputMessage="1" showErrorMessage="1" promptTitle="Offset Area" prompt="Enter the area (in hectares) over which the Offset Actions will be implemented." sqref="I15:I19 I23:I27 I31:I35 I39:I43 I47:I51 I55:I59 I63:I67 I71:I75 I79:I83 I87:I91 I95:I99 I103:I107 I111:I115 I119:I123 I127:I131 I135:I139 I143:I147 I151:I155 I159:I163 I167:I171 I175:I179 I183:I187 I191:I195 I199:I203 I207:I211 I215:I219 I223:I227 I231:I235 I239:I243 I247:I251" xr:uid="{00000000-0002-0000-0500-000005000000}"/>
    <dataValidation type="list" showInputMessage="1" showErrorMessage="1" promptTitle="Confidence in Offset actions" prompt="Choose a level of confidence in the proposed Offset Actions being successful. Default risk, time preference or other uncertainty is not considered here." sqref="J15:J19 J23:J27 J31:J35 J39:J43 J47:J51 J55:J59 J63:J67 J71:J75 J79:J83 J87:J91 J95:J99 J103:J107 J111:J115 J119:J123 J127:J131 J135:J139 J143:J147 J151:J155 J159:J163 J167:J171 J175:J179 J183:J187 J191:J195 J199:J203 J207:J211 J215:J219 J223:J227 J231:J235 J239:J243 J247:J251" xr:uid="{00000000-0002-0000-0500-000006000000}">
      <formula1>" Low confidence &gt;50% &lt;75%, Confident 75-90%, Very confident &gt;90%"</formula1>
    </dataValidation>
    <dataValidation type="list" allowBlank="1" showInputMessage="1" showErrorMessage="1" promptTitle="Choose time horizon" prompt="Choose an option of time horizon over which to calculate NPBV." sqref="K15:K19 K23:K27 K31:K35 K39:K43 K47:K51 K55:K59 K63:K67 K71:K75 K79:K83 K87:K91 K95:K99 K103:K107 K111:K115 K119:K123 K127:K131 K135:K139 K143:K147 K151:K155 K159:K163 K167:K171 K175:K179 K183:K187 K191:K195 K199:K203 K207:K211 K215:K219 K223:K227 K231:K235 K239:K243 K247:K251" xr:uid="{00000000-0002-0000-0500-000007000000}">
      <formula1>"Choose option, Finite end point, Five yearly time-step"</formula1>
    </dataValidation>
    <dataValidation operator="equal" allowBlank="1" showInputMessage="1" showErrorMessage="1" promptTitle="Measure prior to Offset" prompt="Enter the Attribute measure at the Offset Site prior to the Offset occurring expressed in the stated Unit of Measurement (Column F)." sqref="M15:M19 M23:M27 M31:M35 M39:M43 M47:M51 M55:M59 M63:M67 M71:M75 M79:M83 M87:M91 M95:M99 M103:M107 M111:M115 M119:M123 M127:M131 M135:M139 M143:M147 M151:M155 M159:M163 M167:M171 M175:M179 M183:M187 M191:M195 M199:M203 M207:M211 M215:M219 M223:M227 M231:M235 M239:M243 M247:M251" xr:uid="{00000000-0002-0000-0500-000008000000}"/>
    <dataValidation operator="equal" allowBlank="1" showInputMessage="1" showErrorMessage="1" promptTitle="Measure after Offset" prompt="Enter the predicted measure of the Attribute value if the proposed Offset was to occur. This value is measured in the stated Measurement Unit (Column F)." sqref="N15:N19 N23:N27 N31:N35 N39:N43 N47:N51 N55:N59 N63:N67 N71:N75 N79:N83 N87:N91 N95:N99 N103:N107 N111:N115 N119:N123 N127:N131 N135:N139 N143:N147 N151:N155 N159:N163 N167:N171 N175:N179 N183:N187 N191:N195 N199:N203 N207:N211 N215:N219 N223:N227 N231:N235 N239:N243 N247:N251" xr:uid="{00000000-0002-0000-0500-000009000000}"/>
    <dataValidation operator="equal" allowBlank="1" showInputMessage="1" showErrorMessage="1" promptTitle="Time till endpoint" prompt="Enter the anticipated number of years until the Offset Action will achieve the Offset goal." sqref="O15:O19 O23:O27 O31:O35 O39:O43 O47:O51 O55:O59 O63:O67 O71:O75 O79:O83 O87:O91 O95:O99 O103:O107 O111:O115 O119:O123 O127:O131 O135:O139 O143:O147 O151:O155 O159:O163 O167:O171 O175:O179 O183:O187 O191:O195 O199:O203 O207:O211 O215:O219 O223:O227 O231:O235 O239:O243 O247:O251" xr:uid="{00000000-0002-0000-0500-00000A000000}"/>
    <dataValidation allowBlank="1" showErrorMessage="1" prompt="_x000d_" sqref="T15 T23 T31 T39 T47 T55 T63 T71 T79 T87 T95 T103 T111 T119 T127 T135 T143 T151 T159 T247 T175 T183 T191 T199 T207 T215 T223 T231 T239 T167" xr:uid="{00000000-0002-0000-0500-00000B000000}"/>
  </dataValidations>
  <pageMargins left="0.75" right="0.75" top="1" bottom="1" header="0.5" footer="0.5"/>
  <pageSetup paperSize="9" orientation="portrait" horizontalDpi="4294967292" verticalDpi="4294967292"/>
  <drawing r:id="rId1"/>
  <extLst>
    <ext xmlns:x14="http://schemas.microsoft.com/office/spreadsheetml/2009/9/main" uri="{78C0D931-6437-407d-A8EE-F0AAD7539E65}">
      <x14:conditionalFormattings>
        <x14:conditionalFormatting xmlns:xm="http://schemas.microsoft.com/office/excel/2006/main">
          <x14:cfRule type="expression" priority="18751" id="{87413C1D-66E6-C343-B240-89E96A7A735B}">
            <xm:f>'Impact Model'!$C$11=""</xm:f>
            <x14:dxf>
              <font>
                <color theme="8" tint="0.79998168889431442"/>
              </font>
              <fill>
                <patternFill patternType="solid">
                  <fgColor indexed="64"/>
                  <bgColor theme="8" tint="0.79998168889431442"/>
                </patternFill>
              </fill>
            </x14:dxf>
          </x14:cfRule>
          <xm:sqref>C11</xm:sqref>
        </x14:conditionalFormatting>
        <x14:conditionalFormatting xmlns:xm="http://schemas.microsoft.com/office/excel/2006/main">
          <x14:cfRule type="expression" priority="23800" id="{BF4C1AA2-3883-9A48-AEED-9992471C23BB}">
            <xm:f>'Impact Model'!$C15=""</xm:f>
            <x14:dxf>
              <font>
                <color theme="8" tint="0.79998168889431442"/>
              </font>
              <fill>
                <patternFill patternType="solid">
                  <fgColor indexed="64"/>
                  <bgColor theme="8" tint="0.79998168889431442"/>
                </patternFill>
              </fill>
            </x14:dxf>
          </x14:cfRule>
          <xm:sqref>C15</xm:sqref>
        </x14:conditionalFormatting>
        <x14:conditionalFormatting xmlns:xm="http://schemas.microsoft.com/office/excel/2006/main">
          <x14:cfRule type="expression" priority="18619" id="{3B327E5F-277D-7742-A36C-12BBD63A074D}">
            <xm:f>'Impact Model'!$C23=""</xm:f>
            <x14: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x14:dxf>
          </x14:cfRule>
          <xm:sqref>C21:G21 C29:G29 C37:G37 C45:G45 C53:G53 C61:G61 C69:G69 C77:G77 C85:G85 C93:G93 C101:G101 C109:G109 C117:G117 C125:G125 C133:G133 C141:G141 C149:G149 C157:G157 C165:G165 C173:G173 C181:G181 C189:G189 C197:G197 C205:G205 C213:G213 C221:G221 C229:G229 C237:G237 C245:G245</xm:sqref>
        </x14:conditionalFormatting>
        <x14:conditionalFormatting xmlns:xm="http://schemas.microsoft.com/office/excel/2006/main">
          <x14:cfRule type="expression" priority="18510" id="{F537F536-9865-054B-B78E-3960829367DB}">
            <xm:f>'Impact Model'!$C23=""</xm:f>
            <x14:dxf>
              <font>
                <color theme="0"/>
              </font>
              <fill>
                <patternFill patternType="solid">
                  <fgColor indexed="64"/>
                  <bgColor theme="0"/>
                </patternFill>
              </fill>
            </x14:dxf>
          </x14:cfRule>
          <xm:sqref>C22:J22 M22:R22 T22 C30:J30 M30:R30 T30 C38:J38 M38:R38 T38 C46:J46 M46:R46 T46 C54:J54 M54:R54 T54 C62:J62 M62:R62 T62 C70:J70 M70:R70 T70 C78:J78 M78:R78 T78 C86:J86 M86:R86 T86 C94:J94 M94:R94 T94 C102:J102 M102:R102 T102 C110:J110 M110:R110 T110 C118:J118 M118:R118 T118 C126:J126 M126:R126 T126 C134:J134 M134:R134 T134 C142:J142 M142:R142 T142 C150:J150 M150:R150 T150 C158:J158 M158:R158 T158 C166:J166 M166:R166 T166 C174:J174 M174:R174 T174 C182:J182 M182:R182 T182 C190:J190 M190:R190 T190 C198:J198 M198:R198 T198 C206:J206 M206:R206 T206 C214:J214 M214:R214 T214 C222:J222 M222:R222 T222 C230:J230 M230:R230 T230 C238:J238 M238:R238 T238 C246:J246 M246:R246 T246</xm:sqref>
        </x14:conditionalFormatting>
        <x14:conditionalFormatting xmlns:xm="http://schemas.microsoft.com/office/excel/2006/main">
          <x14:cfRule type="expression" priority="2531" id="{B85D5730-F41B-8B44-804B-1F1041DDF8F7}">
            <xm:f>'Impact Model'!$E$26=""</xm:f>
            <x14:dxf>
              <font>
                <color theme="0"/>
              </font>
              <fill>
                <patternFill patternType="solid">
                  <fgColor indexed="64"/>
                  <bgColor theme="0"/>
                </patternFill>
              </fill>
            </x14:dxf>
          </x14:cfRule>
          <xm:sqref>D26</xm:sqref>
        </x14:conditionalFormatting>
        <x14:conditionalFormatting xmlns:xm="http://schemas.microsoft.com/office/excel/2006/main">
          <x14:cfRule type="expression" priority="2530" id="{0948BAA4-C9B0-F748-A7E9-0FC0221C4ED3}">
            <xm:f>'Impact Model'!$E$27=""</xm:f>
            <x14:dxf>
              <font>
                <color theme="0"/>
              </font>
              <fill>
                <patternFill patternType="solid">
                  <fgColor indexed="64"/>
                  <bgColor theme="0"/>
                </patternFill>
              </fill>
            </x14:dxf>
          </x14:cfRule>
          <xm:sqref>D27</xm:sqref>
        </x14:conditionalFormatting>
        <x14:conditionalFormatting xmlns:xm="http://schemas.microsoft.com/office/excel/2006/main">
          <x14:cfRule type="expression" priority="2401" id="{DA9F0523-22D1-424E-8F9D-0A95332B9C19}">
            <xm:f>'Impact Model'!$E31=""</xm:f>
            <x14:dxf>
              <font>
                <color theme="0"/>
              </font>
              <fill>
                <patternFill patternType="solid">
                  <fgColor indexed="64"/>
                  <bgColor theme="0"/>
                </patternFill>
              </fill>
            </x14:dxf>
          </x14:cfRule>
          <xm:sqref>D31:D33</xm:sqref>
        </x14:conditionalFormatting>
        <x14:conditionalFormatting xmlns:xm="http://schemas.microsoft.com/office/excel/2006/main">
          <x14:cfRule type="expression" priority="2529" id="{790B959D-074A-264F-B86E-E619098D0B91}">
            <xm:f>'Impact Model'!$E$32=""</xm:f>
            <x14:dxf>
              <font>
                <color theme="0"/>
              </font>
              <fill>
                <patternFill patternType="solid">
                  <fgColor indexed="64"/>
                  <bgColor theme="0"/>
                </patternFill>
              </fill>
            </x14:dxf>
          </x14:cfRule>
          <xm:sqref>D32</xm:sqref>
        </x14:conditionalFormatting>
        <x14:conditionalFormatting xmlns:xm="http://schemas.microsoft.com/office/excel/2006/main">
          <x14:cfRule type="expression" priority="2437" id="{D8E0F0DC-CFC2-7849-9F1E-D2A7848CFF38}">
            <xm:f>'Impact Model'!$E$26=""</xm:f>
            <x14:dxf>
              <font>
                <color theme="0"/>
              </font>
              <fill>
                <patternFill patternType="solid">
                  <fgColor indexed="64"/>
                  <bgColor theme="0"/>
                </patternFill>
              </fill>
            </x14:dxf>
          </x14:cfRule>
          <xm:sqref>D34</xm:sqref>
        </x14:conditionalFormatting>
        <x14:conditionalFormatting xmlns:xm="http://schemas.microsoft.com/office/excel/2006/main">
          <x14:cfRule type="expression" priority="2436" id="{939B1237-A492-9F4D-A895-F94A1404A25A}">
            <xm:f>'Impact Model'!$E$27=""</xm:f>
            <x14:dxf>
              <font>
                <color theme="0"/>
              </font>
              <fill>
                <patternFill patternType="solid">
                  <fgColor indexed="64"/>
                  <bgColor theme="0"/>
                </patternFill>
              </fill>
            </x14:dxf>
          </x14:cfRule>
          <xm:sqref>D35</xm:sqref>
        </x14:conditionalFormatting>
        <x14:conditionalFormatting xmlns:xm="http://schemas.microsoft.com/office/excel/2006/main">
          <x14:cfRule type="expression" priority="2403" id="{9F9B8250-D12F-2E4D-941A-4AE522C19666}">
            <xm:f>'Impact Model'!$E40=""</xm:f>
            <x14:dxf>
              <font>
                <color theme="0"/>
              </font>
              <fill>
                <patternFill patternType="solid">
                  <fgColor indexed="64"/>
                  <bgColor theme="0"/>
                </patternFill>
              </fill>
            </x14:dxf>
          </x14:cfRule>
          <xm:sqref>D40:D41</xm:sqref>
        </x14:conditionalFormatting>
        <x14:conditionalFormatting xmlns:xm="http://schemas.microsoft.com/office/excel/2006/main">
          <x14:cfRule type="expression" priority="2426" id="{7ABEDCCB-28E7-E546-B356-14AD1C24BA8B}">
            <xm:f>'Impact Model'!$E$26=""</xm:f>
            <x14:dxf>
              <font>
                <color theme="0"/>
              </font>
              <fill>
                <patternFill patternType="solid">
                  <fgColor indexed="64"/>
                  <bgColor theme="0"/>
                </patternFill>
              </fill>
            </x14:dxf>
          </x14:cfRule>
          <xm:sqref>D42</xm:sqref>
        </x14:conditionalFormatting>
        <x14:conditionalFormatting xmlns:xm="http://schemas.microsoft.com/office/excel/2006/main">
          <x14:cfRule type="expression" priority="2425" id="{90BE7946-F787-A042-B37F-0C59C44613C8}">
            <xm:f>'Impact Model'!$E$27=""</xm:f>
            <x14:dxf>
              <font>
                <color theme="0"/>
              </font>
              <fill>
                <patternFill patternType="solid">
                  <fgColor indexed="64"/>
                  <bgColor theme="0"/>
                </patternFill>
              </fill>
            </x14:dxf>
          </x14:cfRule>
          <xm:sqref>D43</xm:sqref>
        </x14:conditionalFormatting>
        <x14:conditionalFormatting xmlns:xm="http://schemas.microsoft.com/office/excel/2006/main">
          <x14:cfRule type="expression" priority="2409" id="{A7BB1C29-CF09-1744-B7AC-96AF69E8499B}">
            <xm:f>'Impact Model'!$E48=""</xm:f>
            <x14:dxf>
              <font>
                <color theme="0"/>
              </font>
              <fill>
                <patternFill patternType="solid">
                  <fgColor indexed="64"/>
                  <bgColor theme="0"/>
                </patternFill>
              </fill>
            </x14:dxf>
          </x14:cfRule>
          <xm:sqref>D48:D51</xm:sqref>
        </x14:conditionalFormatting>
        <x14:conditionalFormatting xmlns:xm="http://schemas.microsoft.com/office/excel/2006/main">
          <x14:cfRule type="expression" priority="2406" id="{1F0BD378-D633-B84F-88FD-02D0C9072ADB}">
            <xm:f>'Impact Model'!$E55=""</xm:f>
            <x14:dxf>
              <font>
                <color theme="0"/>
              </font>
              <fill>
                <patternFill patternType="solid">
                  <fgColor indexed="64"/>
                  <bgColor theme="0"/>
                </patternFill>
              </fill>
            </x14:dxf>
          </x14:cfRule>
          <xm:sqref>D55:D59</xm:sqref>
        </x14:conditionalFormatting>
        <x14:conditionalFormatting xmlns:xm="http://schemas.microsoft.com/office/excel/2006/main">
          <x14:cfRule type="expression" priority="2398" id="{87B89C8E-DF47-7A4F-AC93-90664E850E78}">
            <xm:f>'Impact Model'!$E63=""</xm:f>
            <x14:dxf>
              <font>
                <color theme="0"/>
              </font>
              <fill>
                <patternFill patternType="solid">
                  <fgColor indexed="64"/>
                  <bgColor theme="0"/>
                </patternFill>
              </fill>
            </x14:dxf>
          </x14:cfRule>
          <xm:sqref>D63:D67</xm:sqref>
        </x14:conditionalFormatting>
        <x14:conditionalFormatting xmlns:xm="http://schemas.microsoft.com/office/excel/2006/main">
          <x14:cfRule type="expression" priority="2395" id="{A67803E6-9218-1049-88EC-506CC7625708}">
            <xm:f>'Impact Model'!$E71=""</xm:f>
            <x14:dxf>
              <font>
                <color theme="0"/>
              </font>
              <fill>
                <patternFill patternType="solid">
                  <fgColor indexed="64"/>
                  <bgColor theme="0"/>
                </patternFill>
              </fill>
            </x14:dxf>
          </x14:cfRule>
          <xm:sqref>D71:D75</xm:sqref>
        </x14:conditionalFormatting>
        <x14:conditionalFormatting xmlns:xm="http://schemas.microsoft.com/office/excel/2006/main">
          <x14:cfRule type="expression" priority="2392" id="{A5C4B8AF-08EA-F746-9D4A-951ADB70ED8E}">
            <xm:f>'Impact Model'!$E79=""</xm:f>
            <x14:dxf>
              <font>
                <color theme="0"/>
              </font>
              <fill>
                <patternFill patternType="solid">
                  <fgColor indexed="64"/>
                  <bgColor theme="0"/>
                </patternFill>
              </fill>
            </x14:dxf>
          </x14:cfRule>
          <xm:sqref>D79:D83</xm:sqref>
        </x14:conditionalFormatting>
        <x14:conditionalFormatting xmlns:xm="http://schemas.microsoft.com/office/excel/2006/main">
          <x14:cfRule type="expression" priority="2388" id="{3CA9559C-E647-5341-9053-3791535B72C1}">
            <xm:f>'Impact Model'!$E87=""</xm:f>
            <x14:dxf>
              <font>
                <color theme="0"/>
              </font>
              <fill>
                <patternFill patternType="solid">
                  <fgColor indexed="64"/>
                  <bgColor theme="0"/>
                </patternFill>
              </fill>
            </x14:dxf>
          </x14:cfRule>
          <x14:cfRule type="expression" priority="2390" id="{08767725-B912-5949-ABE9-B87F1D2FCE67}">
            <xm:f>'Impact Model'!$E87=""</xm:f>
            <x14:dxf>
              <font>
                <color theme="0"/>
              </font>
              <fill>
                <patternFill patternType="solid">
                  <fgColor indexed="64"/>
                  <bgColor theme="0"/>
                </patternFill>
              </fill>
            </x14:dxf>
          </x14:cfRule>
          <xm:sqref>D87:D91</xm:sqref>
        </x14:conditionalFormatting>
        <x14:conditionalFormatting xmlns:xm="http://schemas.microsoft.com/office/excel/2006/main">
          <x14:cfRule type="expression" priority="2384" id="{1C68747E-F3EF-D54D-A437-4630DEE50BFC}">
            <xm:f>'Impact Model'!$E95=""</xm:f>
            <x14:dxf>
              <font>
                <color theme="0"/>
              </font>
              <fill>
                <patternFill patternType="solid">
                  <fgColor indexed="64"/>
                  <bgColor theme="0"/>
                </patternFill>
              </fill>
            </x14:dxf>
          </x14:cfRule>
          <x14:cfRule type="expression" priority="2386" id="{2FC4BAC2-D89F-4E49-AE98-286E6C6D330A}">
            <xm:f>'Impact Model'!$E95=""</xm:f>
            <x14:dxf>
              <font>
                <color theme="0"/>
              </font>
              <fill>
                <patternFill patternType="solid">
                  <fgColor indexed="64"/>
                  <bgColor theme="0"/>
                </patternFill>
              </fill>
            </x14:dxf>
          </x14:cfRule>
          <xm:sqref>D95:D99</xm:sqref>
        </x14:conditionalFormatting>
        <x14:conditionalFormatting xmlns:xm="http://schemas.microsoft.com/office/excel/2006/main">
          <x14:cfRule type="expression" priority="2382" id="{FA6861F5-13E0-424B-B1E3-8CD88620D501}">
            <xm:f>'Impact Model'!$E103=""</xm:f>
            <x14:dxf>
              <font>
                <color theme="0"/>
              </font>
              <fill>
                <patternFill patternType="solid">
                  <fgColor indexed="64"/>
                  <bgColor theme="0"/>
                </patternFill>
              </fill>
            </x14:dxf>
          </x14:cfRule>
          <x14:cfRule type="expression" priority="2380" id="{559259FE-8938-F144-AB67-960D5262C4FD}">
            <xm:f>'Impact Model'!$E103=""</xm:f>
            <x14:dxf>
              <font>
                <color theme="0"/>
              </font>
              <fill>
                <patternFill patternType="solid">
                  <fgColor indexed="64"/>
                  <bgColor theme="0"/>
                </patternFill>
              </fill>
            </x14:dxf>
          </x14:cfRule>
          <xm:sqref>D103:D107</xm:sqref>
        </x14:conditionalFormatting>
        <x14:conditionalFormatting xmlns:xm="http://schemas.microsoft.com/office/excel/2006/main">
          <x14:cfRule type="expression" priority="2376" id="{24AB84D3-2B26-CA48-AF2D-F4633375FA24}">
            <xm:f>'Impact Model'!$E111=""</xm:f>
            <x14:dxf>
              <font>
                <color theme="0"/>
              </font>
              <fill>
                <patternFill patternType="solid">
                  <fgColor indexed="64"/>
                  <bgColor theme="0"/>
                </patternFill>
              </fill>
            </x14:dxf>
          </x14:cfRule>
          <x14:cfRule type="expression" priority="2378" id="{EC8F9A5E-9C74-9542-B642-1BBC60C95F0B}">
            <xm:f>'Impact Model'!$E111=""</xm:f>
            <x14:dxf>
              <font>
                <color theme="0"/>
              </font>
              <fill>
                <patternFill patternType="solid">
                  <fgColor indexed="64"/>
                  <bgColor theme="0"/>
                </patternFill>
              </fill>
            </x14:dxf>
          </x14:cfRule>
          <xm:sqref>D111:D115</xm:sqref>
        </x14:conditionalFormatting>
        <x14:conditionalFormatting xmlns:xm="http://schemas.microsoft.com/office/excel/2006/main">
          <x14:cfRule type="expression" priority="2372" id="{73F59BC6-8310-A24B-8690-DC30171197C7}">
            <xm:f>'Impact Model'!$E119=""</xm:f>
            <x14:dxf>
              <font>
                <color theme="0"/>
              </font>
              <fill>
                <patternFill patternType="solid">
                  <fgColor indexed="64"/>
                  <bgColor theme="0"/>
                </patternFill>
              </fill>
            </x14:dxf>
          </x14:cfRule>
          <x14:cfRule type="expression" priority="2374" id="{08666C5E-4894-524E-92B5-E7B776888773}">
            <xm:f>'Impact Model'!$E119=""</xm:f>
            <x14:dxf>
              <font>
                <color theme="0"/>
              </font>
              <fill>
                <patternFill patternType="solid">
                  <fgColor indexed="64"/>
                  <bgColor theme="0"/>
                </patternFill>
              </fill>
            </x14:dxf>
          </x14:cfRule>
          <xm:sqref>D119:D123</xm:sqref>
        </x14:conditionalFormatting>
        <x14:conditionalFormatting xmlns:xm="http://schemas.microsoft.com/office/excel/2006/main">
          <x14:cfRule type="expression" priority="2368" id="{0DC50D8A-E27F-C147-B83F-D981C47234BC}">
            <xm:f>'Impact Model'!$E127=""</xm:f>
            <x14:dxf>
              <font>
                <color theme="0"/>
              </font>
              <fill>
                <patternFill patternType="solid">
                  <fgColor indexed="64"/>
                  <bgColor theme="0"/>
                </patternFill>
              </fill>
            </x14:dxf>
          </x14:cfRule>
          <x14:cfRule type="expression" priority="2370" id="{E4659D10-C581-9643-82F0-C164FADECDE5}">
            <xm:f>'Impact Model'!$E127=""</xm:f>
            <x14:dxf>
              <font>
                <color theme="0"/>
              </font>
              <fill>
                <patternFill patternType="solid">
                  <fgColor indexed="64"/>
                  <bgColor theme="0"/>
                </patternFill>
              </fill>
            </x14:dxf>
          </x14:cfRule>
          <xm:sqref>D127:D131</xm:sqref>
        </x14:conditionalFormatting>
        <x14:conditionalFormatting xmlns:xm="http://schemas.microsoft.com/office/excel/2006/main">
          <x14:cfRule type="expression" priority="2364" id="{3FE9C8BD-C804-7E47-8C05-6A35CF2305F0}">
            <xm:f>'Impact Model'!$E135=""</xm:f>
            <x14:dxf>
              <font>
                <color theme="0"/>
              </font>
              <fill>
                <patternFill patternType="solid">
                  <fgColor indexed="64"/>
                  <bgColor theme="0"/>
                </patternFill>
              </fill>
            </x14:dxf>
          </x14:cfRule>
          <x14:cfRule type="expression" priority="2366" id="{6C7D1D6D-B98C-204A-B0E2-91F15E7A5DC2}">
            <xm:f>'Impact Model'!$E135=""</xm:f>
            <x14:dxf>
              <font>
                <color theme="0"/>
              </font>
              <fill>
                <patternFill patternType="solid">
                  <fgColor indexed="64"/>
                  <bgColor theme="0"/>
                </patternFill>
              </fill>
            </x14:dxf>
          </x14:cfRule>
          <xm:sqref>D135:D139</xm:sqref>
        </x14:conditionalFormatting>
        <x14:conditionalFormatting xmlns:xm="http://schemas.microsoft.com/office/excel/2006/main">
          <x14:cfRule type="expression" priority="2360" id="{27D6C0A5-7752-1444-A6FC-44A2CE70534E}">
            <xm:f>'Impact Model'!$E143=""</xm:f>
            <x14:dxf>
              <font>
                <color theme="0"/>
              </font>
              <fill>
                <patternFill patternType="solid">
                  <fgColor indexed="64"/>
                  <bgColor theme="0"/>
                </patternFill>
              </fill>
            </x14:dxf>
          </x14:cfRule>
          <x14:cfRule type="expression" priority="2362" id="{00D89D50-3EDE-5547-A6E2-7F8626BA5450}">
            <xm:f>'Impact Model'!$E143=""</xm:f>
            <x14:dxf>
              <font>
                <color theme="0"/>
              </font>
              <fill>
                <patternFill patternType="solid">
                  <fgColor indexed="64"/>
                  <bgColor theme="0"/>
                </patternFill>
              </fill>
            </x14:dxf>
          </x14:cfRule>
          <xm:sqref>D143:D147</xm:sqref>
        </x14:conditionalFormatting>
        <x14:conditionalFormatting xmlns:xm="http://schemas.microsoft.com/office/excel/2006/main">
          <x14:cfRule type="expression" priority="2358" id="{79E706DB-4E40-1845-8655-753FD5B1782F}">
            <xm:f>'Impact Model'!$E151=""</xm:f>
            <x14:dxf>
              <font>
                <color theme="0"/>
              </font>
              <fill>
                <patternFill patternType="solid">
                  <fgColor indexed="64"/>
                  <bgColor theme="0"/>
                </patternFill>
              </fill>
            </x14:dxf>
          </x14:cfRule>
          <x14:cfRule type="expression" priority="2356" id="{A3AC9253-CF6A-E44D-A350-A21EB2EF1139}">
            <xm:f>'Impact Model'!$E151=""</xm:f>
            <x14:dxf>
              <font>
                <color theme="0"/>
              </font>
              <fill>
                <patternFill patternType="solid">
                  <fgColor indexed="64"/>
                  <bgColor theme="0"/>
                </patternFill>
              </fill>
            </x14:dxf>
          </x14:cfRule>
          <xm:sqref>D151:D155</xm:sqref>
        </x14:conditionalFormatting>
        <x14:conditionalFormatting xmlns:xm="http://schemas.microsoft.com/office/excel/2006/main">
          <x14:cfRule type="expression" priority="2354" id="{49A0A6DC-5158-694C-8FDD-4CE0F6073724}">
            <xm:f>'Impact Model'!$E159=""</xm:f>
            <x14:dxf>
              <font>
                <color theme="0"/>
              </font>
              <fill>
                <patternFill patternType="solid">
                  <fgColor indexed="64"/>
                  <bgColor theme="0"/>
                </patternFill>
              </fill>
            </x14:dxf>
          </x14:cfRule>
          <x14:cfRule type="expression" priority="2352" id="{6EAA9A42-226B-CC4D-883C-E5EDCABE929E}">
            <xm:f>'Impact Model'!$E159=""</xm:f>
            <x14:dxf>
              <font>
                <color theme="0"/>
              </font>
              <fill>
                <patternFill patternType="solid">
                  <fgColor indexed="64"/>
                  <bgColor theme="0"/>
                </patternFill>
              </fill>
            </x14:dxf>
          </x14:cfRule>
          <xm:sqref>D159:D163</xm:sqref>
        </x14:conditionalFormatting>
        <x14:conditionalFormatting xmlns:xm="http://schemas.microsoft.com/office/excel/2006/main">
          <x14:cfRule type="expression" priority="2348" id="{511ABBBE-3357-574E-AC99-F641354E5F25}">
            <xm:f>'Impact Model'!$E167=""</xm:f>
            <x14:dxf>
              <font>
                <color theme="0"/>
              </font>
              <fill>
                <patternFill patternType="solid">
                  <fgColor indexed="64"/>
                  <bgColor theme="0"/>
                </patternFill>
              </fill>
            </x14:dxf>
          </x14:cfRule>
          <x14:cfRule type="expression" priority="2350" id="{12ECDC6E-055F-DA49-9062-89EDB837B024}">
            <xm:f>'Impact Model'!$E167=""</xm:f>
            <x14:dxf>
              <font>
                <color theme="0"/>
              </font>
              <fill>
                <patternFill patternType="solid">
                  <fgColor indexed="64"/>
                  <bgColor theme="0"/>
                </patternFill>
              </fill>
            </x14:dxf>
          </x14:cfRule>
          <xm:sqref>D167:D171</xm:sqref>
        </x14:conditionalFormatting>
        <x14:conditionalFormatting xmlns:xm="http://schemas.microsoft.com/office/excel/2006/main">
          <x14:cfRule type="expression" priority="2344" id="{82D679D3-2929-AD40-8618-A5C6DF8B730D}">
            <xm:f>'Impact Model'!$E175=""</xm:f>
            <x14:dxf>
              <font>
                <color theme="0"/>
              </font>
              <fill>
                <patternFill patternType="solid">
                  <fgColor indexed="64"/>
                  <bgColor theme="0"/>
                </patternFill>
              </fill>
            </x14:dxf>
          </x14:cfRule>
          <x14:cfRule type="expression" priority="2346" id="{BE008108-8FE9-934E-B27D-1AB260A28FDC}">
            <xm:f>'Impact Model'!$E175=""</xm:f>
            <x14:dxf>
              <font>
                <color theme="0"/>
              </font>
              <fill>
                <patternFill patternType="solid">
                  <fgColor indexed="64"/>
                  <bgColor theme="0"/>
                </patternFill>
              </fill>
            </x14:dxf>
          </x14:cfRule>
          <xm:sqref>D175:D179</xm:sqref>
        </x14:conditionalFormatting>
        <x14:conditionalFormatting xmlns:xm="http://schemas.microsoft.com/office/excel/2006/main">
          <x14:cfRule type="expression" priority="2340" id="{79893980-896F-3C43-AF11-6D47C537D545}">
            <xm:f>'Impact Model'!$E183=""</xm:f>
            <x14:dxf>
              <font>
                <color theme="0"/>
              </font>
              <fill>
                <patternFill patternType="solid">
                  <fgColor indexed="64"/>
                  <bgColor theme="0"/>
                </patternFill>
              </fill>
            </x14:dxf>
          </x14:cfRule>
          <x14:cfRule type="expression" priority="2342" id="{0EED74F5-6039-1848-9B84-2DF9E5827DDB}">
            <xm:f>'Impact Model'!$E183=""</xm:f>
            <x14:dxf>
              <font>
                <color theme="0"/>
              </font>
              <fill>
                <patternFill patternType="solid">
                  <fgColor indexed="64"/>
                  <bgColor theme="0"/>
                </patternFill>
              </fill>
            </x14:dxf>
          </x14:cfRule>
          <xm:sqref>D183:D187</xm:sqref>
        </x14:conditionalFormatting>
        <x14:conditionalFormatting xmlns:xm="http://schemas.microsoft.com/office/excel/2006/main">
          <x14:cfRule type="expression" priority="2338" id="{542FED77-0EAE-074B-B337-DE41D0B7FAF3}">
            <xm:f>'Impact Model'!$E191=""</xm:f>
            <x14:dxf>
              <font>
                <color theme="0"/>
              </font>
              <fill>
                <patternFill patternType="solid">
                  <fgColor indexed="64"/>
                  <bgColor theme="0"/>
                </patternFill>
              </fill>
            </x14:dxf>
          </x14:cfRule>
          <x14:cfRule type="expression" priority="2336" id="{625CC15C-DF14-0843-9EC3-25BE442F4B82}">
            <xm:f>'Impact Model'!$E191=""</xm:f>
            <x14:dxf>
              <font>
                <color theme="0"/>
              </font>
              <fill>
                <patternFill patternType="solid">
                  <fgColor indexed="64"/>
                  <bgColor theme="0"/>
                </patternFill>
              </fill>
            </x14:dxf>
          </x14:cfRule>
          <xm:sqref>D191:D195</xm:sqref>
        </x14:conditionalFormatting>
        <x14:conditionalFormatting xmlns:xm="http://schemas.microsoft.com/office/excel/2006/main">
          <x14:cfRule type="expression" priority="2332" id="{DCC918B1-1698-7C46-B6B3-502EC7849026}">
            <xm:f>'Impact Model'!$E199=""</xm:f>
            <x14:dxf>
              <font>
                <color theme="0"/>
              </font>
              <fill>
                <patternFill patternType="solid">
                  <fgColor indexed="64"/>
                  <bgColor theme="0"/>
                </patternFill>
              </fill>
            </x14:dxf>
          </x14:cfRule>
          <x14:cfRule type="expression" priority="2334" id="{7E1E93E6-0E6C-4B45-A385-7E6844A6EA04}">
            <xm:f>'Impact Model'!$E199=""</xm:f>
            <x14:dxf>
              <font>
                <color theme="0"/>
              </font>
              <fill>
                <patternFill patternType="solid">
                  <fgColor indexed="64"/>
                  <bgColor theme="0"/>
                </patternFill>
              </fill>
            </x14:dxf>
          </x14:cfRule>
          <xm:sqref>D199:D203</xm:sqref>
        </x14:conditionalFormatting>
        <x14:conditionalFormatting xmlns:xm="http://schemas.microsoft.com/office/excel/2006/main">
          <x14:cfRule type="expression" priority="2330" id="{12FC022F-0097-144D-81C1-4D125CAB07AA}">
            <xm:f>'Impact Model'!$E207=""</xm:f>
            <x14:dxf>
              <font>
                <color theme="0"/>
              </font>
              <fill>
                <patternFill patternType="solid">
                  <fgColor indexed="64"/>
                  <bgColor theme="0"/>
                </patternFill>
              </fill>
            </x14:dxf>
          </x14:cfRule>
          <x14:cfRule type="expression" priority="2328" id="{78015651-371A-1D44-8626-03AFDDE5A97C}">
            <xm:f>'Impact Model'!$E207=""</xm:f>
            <x14:dxf>
              <font>
                <color theme="0"/>
              </font>
              <fill>
                <patternFill patternType="solid">
                  <fgColor indexed="64"/>
                  <bgColor theme="0"/>
                </patternFill>
              </fill>
            </x14:dxf>
          </x14:cfRule>
          <xm:sqref>D207:D211</xm:sqref>
        </x14:conditionalFormatting>
        <x14:conditionalFormatting xmlns:xm="http://schemas.microsoft.com/office/excel/2006/main">
          <x14:cfRule type="expression" priority="2324" id="{F744108B-E7D8-C441-AA74-AE60CD6D9346}">
            <xm:f>'Impact Model'!$E215=""</xm:f>
            <x14:dxf>
              <font>
                <color theme="0"/>
              </font>
              <fill>
                <patternFill patternType="solid">
                  <fgColor indexed="64"/>
                  <bgColor theme="0"/>
                </patternFill>
              </fill>
            </x14:dxf>
          </x14:cfRule>
          <x14:cfRule type="expression" priority="2326" id="{B160BC1B-689E-5449-84E5-9217473CCE68}">
            <xm:f>'Impact Model'!$E215=""</xm:f>
            <x14:dxf>
              <font>
                <color theme="0"/>
              </font>
              <fill>
                <patternFill patternType="solid">
                  <fgColor indexed="64"/>
                  <bgColor theme="0"/>
                </patternFill>
              </fill>
            </x14:dxf>
          </x14:cfRule>
          <xm:sqref>D215:D219</xm:sqref>
        </x14:conditionalFormatting>
        <x14:conditionalFormatting xmlns:xm="http://schemas.microsoft.com/office/excel/2006/main">
          <x14:cfRule type="expression" priority="2322" id="{B659EE46-14A7-F346-9071-D44049CEEBD6}">
            <xm:f>'Impact Model'!$E223=""</xm:f>
            <x14:dxf>
              <font>
                <color theme="0"/>
              </font>
              <fill>
                <patternFill patternType="solid">
                  <fgColor indexed="64"/>
                  <bgColor theme="0"/>
                </patternFill>
              </fill>
            </x14:dxf>
          </x14:cfRule>
          <x14:cfRule type="expression" priority="2320" id="{DEDFD7E9-CAAE-7C46-A199-1C125E193427}">
            <xm:f>'Impact Model'!$E223=""</xm:f>
            <x14:dxf>
              <font>
                <color theme="0"/>
              </font>
              <fill>
                <patternFill patternType="solid">
                  <fgColor indexed="64"/>
                  <bgColor theme="0"/>
                </patternFill>
              </fill>
            </x14:dxf>
          </x14:cfRule>
          <xm:sqref>D223:D227</xm:sqref>
        </x14:conditionalFormatting>
        <x14:conditionalFormatting xmlns:xm="http://schemas.microsoft.com/office/excel/2006/main">
          <x14:cfRule type="expression" priority="2318" id="{B541EE45-0A3A-7B41-9202-1493EAD29F76}">
            <xm:f>'Impact Model'!$E231=""</xm:f>
            <x14:dxf>
              <font>
                <color theme="0"/>
              </font>
              <fill>
                <patternFill patternType="solid">
                  <fgColor indexed="64"/>
                  <bgColor theme="0"/>
                </patternFill>
              </fill>
            </x14:dxf>
          </x14:cfRule>
          <x14:cfRule type="expression" priority="2316" id="{13AE88E9-701B-EF45-A0FE-B54C001F5562}">
            <xm:f>'Impact Model'!$E231=""</xm:f>
            <x14:dxf>
              <font>
                <color theme="0"/>
              </font>
              <fill>
                <patternFill patternType="solid">
                  <fgColor indexed="64"/>
                  <bgColor theme="0"/>
                </patternFill>
              </fill>
            </x14:dxf>
          </x14:cfRule>
          <xm:sqref>D231:D235</xm:sqref>
        </x14:conditionalFormatting>
        <x14:conditionalFormatting xmlns:xm="http://schemas.microsoft.com/office/excel/2006/main">
          <x14:cfRule type="expression" priority="2312" id="{3E6C1863-E899-9A4E-B71C-90734D46D81B}">
            <xm:f>'Impact Model'!$E239=""</xm:f>
            <x14:dxf>
              <font>
                <color theme="0"/>
              </font>
              <fill>
                <patternFill patternType="solid">
                  <fgColor indexed="64"/>
                  <bgColor theme="0"/>
                </patternFill>
              </fill>
            </x14:dxf>
          </x14:cfRule>
          <x14:cfRule type="expression" priority="2314" id="{3B1BBE07-A4FC-364D-93B2-B6E9FF118A8C}">
            <xm:f>'Impact Model'!$E239=""</xm:f>
            <x14:dxf>
              <font>
                <color theme="0"/>
              </font>
              <fill>
                <patternFill patternType="solid">
                  <fgColor indexed="64"/>
                  <bgColor theme="0"/>
                </patternFill>
              </fill>
            </x14:dxf>
          </x14:cfRule>
          <xm:sqref>D239:D243</xm:sqref>
        </x14:conditionalFormatting>
        <x14:conditionalFormatting xmlns:xm="http://schemas.microsoft.com/office/excel/2006/main">
          <x14:cfRule type="expression" priority="2308" id="{3118B44E-D690-6047-80A7-97386DD85B1D}">
            <xm:f>'Impact Model'!$E247=""</xm:f>
            <x14:dxf>
              <font>
                <color theme="0"/>
              </font>
              <fill>
                <patternFill patternType="solid">
                  <fgColor indexed="64"/>
                  <bgColor theme="0"/>
                </patternFill>
              </fill>
            </x14:dxf>
          </x14:cfRule>
          <x14:cfRule type="expression" priority="2310" id="{3924D1B4-C9C9-EA45-9C45-946D6037E55F}">
            <xm:f>'Impact Model'!$E247=""</xm:f>
            <x14:dxf>
              <font>
                <color theme="0"/>
              </font>
              <fill>
                <patternFill patternType="solid">
                  <fgColor indexed="64"/>
                  <bgColor theme="0"/>
                </patternFill>
              </fill>
            </x14:dxf>
          </x14:cfRule>
          <xm:sqref>D247:D251</xm:sqref>
        </x14:conditionalFormatting>
        <x14:conditionalFormatting xmlns:xm="http://schemas.microsoft.com/office/excel/2006/main">
          <x14:cfRule type="expression" priority="2421" id="{07D6FD09-1472-0B48-8CBC-0363BE182F7E}">
            <xm:f>'Impact Model'!$E47=""</xm:f>
            <x14:dxf>
              <font>
                <color theme="0"/>
              </font>
              <fill>
                <patternFill patternType="solid">
                  <fgColor indexed="64"/>
                  <bgColor theme="0"/>
                </patternFill>
              </fill>
            </x14:dxf>
          </x14:cfRule>
          <xm:sqref>D47:E47</xm:sqref>
        </x14:conditionalFormatting>
        <x14:conditionalFormatting xmlns:xm="http://schemas.microsoft.com/office/excel/2006/main">
          <x14:cfRule type="expression" priority="23799" id="{614820A0-B432-3F4C-A084-841FD6B5B2D3}">
            <xm:f>'Impact Model'!$E15=""</xm:f>
            <x14:dxf>
              <font>
                <color theme="8" tint="0.79998168889431442"/>
              </font>
              <fill>
                <patternFill patternType="solid">
                  <fgColor indexed="64"/>
                  <bgColor theme="8" tint="0.79998168889431442"/>
                </patternFill>
              </fill>
            </x14:dxf>
          </x14:cfRule>
          <xm:sqref>E15:E19</xm:sqref>
        </x14:conditionalFormatting>
        <x14:conditionalFormatting xmlns:xm="http://schemas.microsoft.com/office/excel/2006/main">
          <x14:cfRule type="expression" priority="4376" id="{AD02E36E-48BC-294B-9A23-86A64CEA7DE8}">
            <xm:f>'Impact Model'!$F23=""</xm:f>
            <x14:dxf>
              <font>
                <color theme="0"/>
              </font>
              <fill>
                <patternFill patternType="solid">
                  <fgColor indexed="64"/>
                  <bgColor theme="0"/>
                </patternFill>
              </fill>
            </x14:dxf>
          </x14:cfRule>
          <xm:sqref>F23 F31 F47 F55 F63 F71 F79 F87 F95 F103 F111 F119 F127 F135 F143 F151 F159 F167 F175 F183 F191 F199 F207 F215 F223 F231 F239 F247</xm:sqref>
        </x14:conditionalFormatting>
        <x14:conditionalFormatting xmlns:xm="http://schemas.microsoft.com/office/excel/2006/main">
          <x14:cfRule type="expression" priority="539" id="{1CB40EF9-6BDD-114D-8930-D9A4334DD370}">
            <xm:f>'Impact Model'!$F15=""</xm:f>
            <x14:dxf>
              <font>
                <color theme="8" tint="0.79998168889431442"/>
              </font>
              <fill>
                <patternFill patternType="solid">
                  <fgColor indexed="64"/>
                  <bgColor theme="8" tint="0.79998168889431442"/>
                </patternFill>
              </fill>
            </x14:dxf>
          </x14:cfRule>
          <xm:sqref>F15:G19</xm:sqref>
        </x14:conditionalFormatting>
        <x14:conditionalFormatting xmlns:xm="http://schemas.microsoft.com/office/excel/2006/main">
          <x14:cfRule type="expression" priority="452" id="{BEDF0684-F5DC-EC44-B7EA-8388C78A7AB1}">
            <xm:f>'Impact Model'!$E39=""</xm:f>
            <x14:dxf>
              <font>
                <color theme="0"/>
              </font>
              <fill>
                <patternFill patternType="solid">
                  <fgColor indexed="64"/>
                  <bgColor theme="0"/>
                </patternFill>
              </fill>
            </x14:dxf>
          </x14:cfRule>
          <xm:sqref>F39:K43</xm:sqref>
        </x14:conditionalFormatting>
        <x14:conditionalFormatting xmlns:xm="http://schemas.microsoft.com/office/excel/2006/main">
          <x14:cfRule type="expression" priority="480" id="{C33F2B77-7061-0A47-95A1-34E92EBF345F}">
            <xm:f>'Impact Model'!$E31=""</xm:f>
            <x14:dxf>
              <font>
                <color theme="0"/>
              </font>
              <fill>
                <patternFill patternType="solid">
                  <fgColor indexed="64"/>
                  <bgColor theme="0"/>
                </patternFill>
              </fill>
            </x14:dxf>
          </x14:cfRule>
          <xm:sqref>G31:K35</xm:sqref>
        </x14:conditionalFormatting>
        <x14:conditionalFormatting xmlns:xm="http://schemas.microsoft.com/office/excel/2006/main">
          <x14:cfRule type="expression" priority="478" id="{4647CB27-DE03-CF48-BD4A-1CC34A205375}">
            <xm:f>'Impact Model'!$E47=""</xm:f>
            <x14:dxf>
              <font>
                <color theme="0"/>
              </font>
              <fill>
                <patternFill patternType="solid">
                  <fgColor indexed="64"/>
                  <bgColor theme="0"/>
                </patternFill>
              </fill>
            </x14:dxf>
          </x14:cfRule>
          <xm:sqref>G47:K51</xm:sqref>
        </x14:conditionalFormatting>
        <x14:conditionalFormatting xmlns:xm="http://schemas.microsoft.com/office/excel/2006/main">
          <x14:cfRule type="expression" priority="477" id="{7796C946-C306-2045-B25E-A396B48D676F}">
            <xm:f>'Impact Model'!$E55=""</xm:f>
            <x14:dxf>
              <font>
                <color theme="0"/>
              </font>
              <fill>
                <patternFill patternType="solid">
                  <fgColor indexed="64"/>
                  <bgColor theme="0"/>
                </patternFill>
              </fill>
            </x14:dxf>
          </x14:cfRule>
          <xm:sqref>G55:K59</xm:sqref>
        </x14:conditionalFormatting>
        <x14:conditionalFormatting xmlns:xm="http://schemas.microsoft.com/office/excel/2006/main">
          <x14:cfRule type="expression" priority="476" id="{1CB2E4B9-FE8A-7341-B23E-184E5C38A2E9}">
            <xm:f>'Impact Model'!$E63=""</xm:f>
            <x14:dxf>
              <font>
                <color theme="0"/>
              </font>
              <fill>
                <patternFill patternType="solid">
                  <fgColor indexed="64"/>
                  <bgColor theme="0"/>
                </patternFill>
              </fill>
            </x14:dxf>
          </x14:cfRule>
          <xm:sqref>G63:K67</xm:sqref>
        </x14:conditionalFormatting>
        <x14:conditionalFormatting xmlns:xm="http://schemas.microsoft.com/office/excel/2006/main">
          <x14:cfRule type="expression" priority="475" id="{8532D59C-22C1-E64E-85FF-E1E25CC057A9}">
            <xm:f>'Impact Model'!$E71=""</xm:f>
            <x14:dxf>
              <font>
                <color theme="0"/>
              </font>
              <fill>
                <patternFill patternType="solid">
                  <fgColor indexed="64"/>
                  <bgColor theme="0"/>
                </patternFill>
              </fill>
            </x14:dxf>
          </x14:cfRule>
          <xm:sqref>G71:K75</xm:sqref>
        </x14:conditionalFormatting>
        <x14:conditionalFormatting xmlns:xm="http://schemas.microsoft.com/office/excel/2006/main">
          <x14:cfRule type="expression" priority="474" id="{5B859034-D9F3-AE45-B4CD-90F039911A6E}">
            <xm:f>'Impact Model'!$E79=""</xm:f>
            <x14:dxf>
              <font>
                <color theme="0"/>
              </font>
              <fill>
                <patternFill patternType="solid">
                  <fgColor indexed="64"/>
                  <bgColor theme="0"/>
                </patternFill>
              </fill>
            </x14:dxf>
          </x14:cfRule>
          <xm:sqref>G79:K83</xm:sqref>
        </x14:conditionalFormatting>
        <x14:conditionalFormatting xmlns:xm="http://schemas.microsoft.com/office/excel/2006/main">
          <x14:cfRule type="expression" priority="473" id="{76E6BBA7-C5A0-EB48-A739-C08D310E18BF}">
            <xm:f>'Impact Model'!$E87=""</xm:f>
            <x14:dxf>
              <font>
                <color theme="0"/>
              </font>
              <fill>
                <patternFill patternType="solid">
                  <fgColor indexed="64"/>
                  <bgColor theme="0"/>
                </patternFill>
              </fill>
            </x14:dxf>
          </x14:cfRule>
          <xm:sqref>G87:K91</xm:sqref>
        </x14:conditionalFormatting>
        <x14:conditionalFormatting xmlns:xm="http://schemas.microsoft.com/office/excel/2006/main">
          <x14:cfRule type="expression" priority="472" id="{6746EB2A-C5B0-F945-884F-467469853103}">
            <xm:f>'Impact Model'!$E95=""</xm:f>
            <x14:dxf>
              <font>
                <color theme="0"/>
              </font>
              <fill>
                <patternFill patternType="solid">
                  <fgColor indexed="64"/>
                  <bgColor theme="0"/>
                </patternFill>
              </fill>
            </x14:dxf>
          </x14:cfRule>
          <xm:sqref>G95:K99</xm:sqref>
        </x14:conditionalFormatting>
        <x14:conditionalFormatting xmlns:xm="http://schemas.microsoft.com/office/excel/2006/main">
          <x14:cfRule type="expression" priority="471" id="{2ABFEE43-A650-8945-97C6-B184127F5E60}">
            <xm:f>'Impact Model'!$E103=""</xm:f>
            <x14:dxf>
              <font>
                <color theme="0"/>
              </font>
              <fill>
                <patternFill patternType="solid">
                  <fgColor indexed="64"/>
                  <bgColor theme="0"/>
                </patternFill>
              </fill>
            </x14:dxf>
          </x14:cfRule>
          <xm:sqref>G103:K107</xm:sqref>
        </x14:conditionalFormatting>
        <x14:conditionalFormatting xmlns:xm="http://schemas.microsoft.com/office/excel/2006/main">
          <x14:cfRule type="expression" priority="470" id="{430A0E6B-EB07-7E42-9789-161AD794BF8C}">
            <xm:f>'Impact Model'!$E111=""</xm:f>
            <x14:dxf>
              <font>
                <color theme="0"/>
              </font>
              <fill>
                <patternFill patternType="solid">
                  <fgColor indexed="64"/>
                  <bgColor theme="0"/>
                </patternFill>
              </fill>
            </x14:dxf>
          </x14:cfRule>
          <xm:sqref>G111:K115</xm:sqref>
        </x14:conditionalFormatting>
        <x14:conditionalFormatting xmlns:xm="http://schemas.microsoft.com/office/excel/2006/main">
          <x14:cfRule type="expression" priority="469" id="{6CEC3E9D-B30F-1E4C-97ED-2A8F844A50C4}">
            <xm:f>'Impact Model'!$E119=""</xm:f>
            <x14:dxf>
              <font>
                <color theme="0"/>
              </font>
              <fill>
                <patternFill patternType="solid">
                  <fgColor indexed="64"/>
                  <bgColor theme="0"/>
                </patternFill>
              </fill>
            </x14:dxf>
          </x14:cfRule>
          <xm:sqref>G119:K123</xm:sqref>
        </x14:conditionalFormatting>
        <x14:conditionalFormatting xmlns:xm="http://schemas.microsoft.com/office/excel/2006/main">
          <x14:cfRule type="expression" priority="468" id="{F8C6E39F-76C5-1145-BE2C-8165876B53F7}">
            <xm:f>'Impact Model'!$E127=""</xm:f>
            <x14:dxf>
              <font>
                <color theme="0"/>
              </font>
              <fill>
                <patternFill patternType="solid">
                  <fgColor indexed="64"/>
                  <bgColor theme="0"/>
                </patternFill>
              </fill>
            </x14:dxf>
          </x14:cfRule>
          <xm:sqref>G127:K131</xm:sqref>
        </x14:conditionalFormatting>
        <x14:conditionalFormatting xmlns:xm="http://schemas.microsoft.com/office/excel/2006/main">
          <x14:cfRule type="expression" priority="467" id="{820949AC-3F0E-7E49-B961-567A8668EEC6}">
            <xm:f>'Impact Model'!$E135=""</xm:f>
            <x14:dxf>
              <font>
                <color theme="0"/>
              </font>
              <fill>
                <patternFill patternType="solid">
                  <fgColor indexed="64"/>
                  <bgColor theme="0"/>
                </patternFill>
              </fill>
            </x14:dxf>
          </x14:cfRule>
          <xm:sqref>G135:K139</xm:sqref>
        </x14:conditionalFormatting>
        <x14:conditionalFormatting xmlns:xm="http://schemas.microsoft.com/office/excel/2006/main">
          <x14:cfRule type="expression" priority="466" id="{65E5DB47-EBC2-4146-B2B0-EAF6B8BEC5BF}">
            <xm:f>'Impact Model'!$E143=""</xm:f>
            <x14:dxf>
              <font>
                <color theme="0"/>
              </font>
              <fill>
                <patternFill patternType="solid">
                  <fgColor indexed="64"/>
                  <bgColor theme="0"/>
                </patternFill>
              </fill>
            </x14:dxf>
          </x14:cfRule>
          <xm:sqref>G143:K147</xm:sqref>
        </x14:conditionalFormatting>
        <x14:conditionalFormatting xmlns:xm="http://schemas.microsoft.com/office/excel/2006/main">
          <x14:cfRule type="expression" priority="465" id="{C42E9B74-A153-B343-8363-0BA2E7FFDD3D}">
            <xm:f>'Impact Model'!$E151=""</xm:f>
            <x14:dxf>
              <font>
                <color theme="0"/>
              </font>
              <fill>
                <patternFill patternType="solid">
                  <fgColor indexed="64"/>
                  <bgColor theme="0"/>
                </patternFill>
              </fill>
            </x14:dxf>
          </x14:cfRule>
          <xm:sqref>G151:K155</xm:sqref>
        </x14:conditionalFormatting>
        <x14:conditionalFormatting xmlns:xm="http://schemas.microsoft.com/office/excel/2006/main">
          <x14:cfRule type="expression" priority="464" id="{A0F58BA1-1E1C-BA40-92C0-93B1DD48A19F}">
            <xm:f>'Impact Model'!$E159=""</xm:f>
            <x14:dxf>
              <font>
                <color theme="0"/>
              </font>
              <fill>
                <patternFill patternType="solid">
                  <fgColor indexed="64"/>
                  <bgColor theme="0"/>
                </patternFill>
              </fill>
            </x14:dxf>
          </x14:cfRule>
          <xm:sqref>G159:K163</xm:sqref>
        </x14:conditionalFormatting>
        <x14:conditionalFormatting xmlns:xm="http://schemas.microsoft.com/office/excel/2006/main">
          <x14:cfRule type="expression" priority="463" id="{82336C84-9654-8A4C-9C48-F0130B8EEBDC}">
            <xm:f>'Impact Model'!$E167=""</xm:f>
            <x14:dxf>
              <font>
                <color theme="0"/>
              </font>
              <fill>
                <patternFill patternType="solid">
                  <fgColor indexed="64"/>
                  <bgColor theme="0"/>
                </patternFill>
              </fill>
            </x14:dxf>
          </x14:cfRule>
          <xm:sqref>G167:K171</xm:sqref>
        </x14:conditionalFormatting>
        <x14:conditionalFormatting xmlns:xm="http://schemas.microsoft.com/office/excel/2006/main">
          <x14:cfRule type="expression" priority="462" id="{DB9B5173-CC9C-E642-9FF9-A65A8D4203E4}">
            <xm:f>'Impact Model'!$E175=""</xm:f>
            <x14:dxf>
              <font>
                <color theme="0"/>
              </font>
              <fill>
                <patternFill patternType="solid">
                  <fgColor indexed="64"/>
                  <bgColor theme="0"/>
                </patternFill>
              </fill>
            </x14:dxf>
          </x14:cfRule>
          <xm:sqref>G175:K179</xm:sqref>
        </x14:conditionalFormatting>
        <x14:conditionalFormatting xmlns:xm="http://schemas.microsoft.com/office/excel/2006/main">
          <x14:cfRule type="expression" priority="461" id="{52574A6D-3057-5E4A-89C2-DD36C83475E5}">
            <xm:f>'Impact Model'!$E183=""</xm:f>
            <x14:dxf>
              <font>
                <color theme="0"/>
              </font>
              <fill>
                <patternFill patternType="solid">
                  <fgColor indexed="64"/>
                  <bgColor theme="0"/>
                </patternFill>
              </fill>
            </x14:dxf>
          </x14:cfRule>
          <xm:sqref>G183:K187</xm:sqref>
        </x14:conditionalFormatting>
        <x14:conditionalFormatting xmlns:xm="http://schemas.microsoft.com/office/excel/2006/main">
          <x14:cfRule type="expression" priority="460" id="{67936F52-2668-6843-8A0B-9B2395C05425}">
            <xm:f>'Impact Model'!$E191=""</xm:f>
            <x14:dxf>
              <font>
                <color theme="0"/>
              </font>
              <fill>
                <patternFill patternType="solid">
                  <fgColor indexed="64"/>
                  <bgColor theme="0"/>
                </patternFill>
              </fill>
            </x14:dxf>
          </x14:cfRule>
          <xm:sqref>G191:K195</xm:sqref>
        </x14:conditionalFormatting>
        <x14:conditionalFormatting xmlns:xm="http://schemas.microsoft.com/office/excel/2006/main">
          <x14:cfRule type="expression" priority="459" id="{00DFBB41-B926-6044-9F34-415EC5508CF4}">
            <xm:f>'Impact Model'!$E199=""</xm:f>
            <x14:dxf>
              <font>
                <color theme="0"/>
              </font>
              <fill>
                <patternFill patternType="solid">
                  <fgColor indexed="64"/>
                  <bgColor theme="0"/>
                </patternFill>
              </fill>
            </x14:dxf>
          </x14:cfRule>
          <xm:sqref>G199:K203</xm:sqref>
        </x14:conditionalFormatting>
        <x14:conditionalFormatting xmlns:xm="http://schemas.microsoft.com/office/excel/2006/main">
          <x14:cfRule type="expression" priority="458" id="{FBC1E131-E180-2E42-95C1-600BAE3847AD}">
            <xm:f>'Impact Model'!$E207=""</xm:f>
            <x14:dxf>
              <font>
                <color theme="0"/>
              </font>
              <fill>
                <patternFill patternType="solid">
                  <fgColor indexed="64"/>
                  <bgColor theme="0"/>
                </patternFill>
              </fill>
            </x14:dxf>
          </x14:cfRule>
          <xm:sqref>G207:K211</xm:sqref>
        </x14:conditionalFormatting>
        <x14:conditionalFormatting xmlns:xm="http://schemas.microsoft.com/office/excel/2006/main">
          <x14:cfRule type="expression" priority="457" id="{98495F84-730A-D849-BF06-49C7671D48B4}">
            <xm:f>'Impact Model'!$E215=""</xm:f>
            <x14:dxf>
              <font>
                <color theme="0"/>
              </font>
              <fill>
                <patternFill patternType="solid">
                  <fgColor indexed="64"/>
                  <bgColor theme="0"/>
                </patternFill>
              </fill>
            </x14:dxf>
          </x14:cfRule>
          <xm:sqref>G215:K219</xm:sqref>
        </x14:conditionalFormatting>
        <x14:conditionalFormatting xmlns:xm="http://schemas.microsoft.com/office/excel/2006/main">
          <x14:cfRule type="expression" priority="456" id="{44399046-436C-C24C-AA70-74863F8783FF}">
            <xm:f>'Impact Model'!$E223=""</xm:f>
            <x14:dxf>
              <font>
                <color theme="0"/>
              </font>
              <fill>
                <patternFill patternType="solid">
                  <fgColor indexed="64"/>
                  <bgColor theme="0"/>
                </patternFill>
              </fill>
            </x14:dxf>
          </x14:cfRule>
          <xm:sqref>G223:K227</xm:sqref>
        </x14:conditionalFormatting>
        <x14:conditionalFormatting xmlns:xm="http://schemas.microsoft.com/office/excel/2006/main">
          <x14:cfRule type="expression" priority="455" id="{FE37DD99-645E-C44F-AA41-585AA6A31A79}">
            <xm:f>'Impact Model'!$E231=""</xm:f>
            <x14:dxf>
              <font>
                <color theme="0"/>
              </font>
              <fill>
                <patternFill patternType="solid">
                  <fgColor indexed="64"/>
                  <bgColor theme="0"/>
                </patternFill>
              </fill>
            </x14:dxf>
          </x14:cfRule>
          <xm:sqref>G231:K235</xm:sqref>
        </x14:conditionalFormatting>
        <x14:conditionalFormatting xmlns:xm="http://schemas.microsoft.com/office/excel/2006/main">
          <x14:cfRule type="expression" priority="454" id="{B266B2B8-415D-4340-96CB-9D13C3B609CD}">
            <xm:f>'Impact Model'!$E239=""</xm:f>
            <x14:dxf>
              <font>
                <color theme="0"/>
              </font>
              <fill>
                <patternFill patternType="solid">
                  <fgColor indexed="64"/>
                  <bgColor theme="0"/>
                </patternFill>
              </fill>
            </x14:dxf>
          </x14:cfRule>
          <xm:sqref>G239:K243</xm:sqref>
        </x14:conditionalFormatting>
        <x14:conditionalFormatting xmlns:xm="http://schemas.microsoft.com/office/excel/2006/main">
          <x14:cfRule type="expression" priority="453" id="{B582CF10-FE10-5D4F-AFC0-CC15B03A4B07}">
            <xm:f>'Impact Model'!$E247=""</xm:f>
            <x14:dxf>
              <font>
                <color theme="0"/>
              </font>
              <fill>
                <patternFill patternType="solid">
                  <fgColor indexed="64"/>
                  <bgColor theme="0"/>
                </patternFill>
              </fill>
            </x14:dxf>
          </x14:cfRule>
          <xm:sqref>G247:K251</xm:sqref>
        </x14:conditionalFormatting>
        <x14:conditionalFormatting xmlns:xm="http://schemas.microsoft.com/office/excel/2006/main">
          <x14:cfRule type="expression" priority="18506" id="{E9D1F80C-D054-9641-88C8-8ECABD17D90E}">
            <xm:f>'Impact Model'!$C23=""</xm:f>
            <x14:dxf>
              <font>
                <color theme="0"/>
              </font>
              <fill>
                <patternFill patternType="solid">
                  <fgColor indexed="64"/>
                  <bgColor theme="0"/>
                </patternFill>
              </fill>
            </x14:dxf>
          </x14:cfRule>
          <xm:sqref>H21:J21 M21:R21 T21 K21:L22 H29:J29 M29:R29 T29 K29:L30 H37:J37 M37:R37 T37 K37:L38 H45:J45 M45:R45 T45 K45:L46 H53:J53 M53:R53 T53 K53:L54 H61:J61 M61:R61 T61 K61:L62 H69:J69 M69:R69 T69 K69:L70 H77:J77 M77:R77 T77 K77:L78 H85:J85 M85:R85 T85 K85:L86 H93:J93 M93:R93 T93 K93:L94 H101:J101 M101:R101 T101 K101:L102 H109:J109 M109:R109 T109 K109:L110 H117:J117 M117:R117 T117 K117:L118 H125:J125 M125:R125 T125 K125:L126 H133:J133 M133:R133 T133 K133:L134 H141:J141 M141:R141 T141 K141:L142 H149:J149 M149:R149 T149 K149:L150 H157:J157 M157:R157 T157 K157:L158 H165:J165 M165:R165 T165 K165:L166 H173:J173 M173:R173 T173 K173:L174 H181:J181 M181:R181 T181 K181:L182 H189:J189 M189:R189 T189 K189:L190 H197:J197 M197:R197 T197 K197:L198 H205:J205 M205:R205 T205 K205:L206 H213:J213 M213:R213 T213 K213:L214 H221:J221 M221:R221 T221 K221:L222 H229:J229 M229:R229 T229 K229:L230 H237:J237 M237:R237 T237 K237:L238 H245:J245 M245:R245 T245 K245:L246</xm:sqref>
        </x14:conditionalFormatting>
        <x14:conditionalFormatting xmlns:xm="http://schemas.microsoft.com/office/excel/2006/main">
          <x14:cfRule type="expression" priority="18704" id="{3AA8370B-66C9-734C-8A05-9EE798ACCFB9}">
            <xm:f>'Impact Model'!$E23=""</xm:f>
            <x14:dxf>
              <font>
                <color theme="0" tint="-0.249977111117893"/>
              </font>
              <fill>
                <patternFill patternType="solid">
                  <fgColor indexed="64"/>
                  <bgColor theme="0"/>
                </patternFill>
              </fill>
            </x14:dxf>
          </x14:cfRule>
          <xm:sqref>O23:O27 O135:O139 O127:O131 O119:O123 O111:O115 O103:O107 O95:O99 O87:O91 O79:O83 O71:O75 O63:O67 O55:O59 O47:O51 O39:O43 O31:O35 O143:O147 O151:O155 O159:O163 O167:O171 O175:O179 O183:O187 O191:O195 O199:O203 O207:O211 O215:O219 O223:O227 O231:O235 O239:O243 O247:O251</xm:sqref>
        </x14:conditionalFormatting>
        <x14:conditionalFormatting xmlns:xm="http://schemas.microsoft.com/office/excel/2006/main">
          <x14:cfRule type="expression" priority="2053" id="{7182B92E-CA9C-8D45-8AD0-EBF9A0BE0349}">
            <xm:f>'Impact Model'!$E26=""</xm:f>
            <x14:dxf>
              <font>
                <color theme="0"/>
              </font>
              <fill>
                <patternFill patternType="solid">
                  <fgColor indexed="64"/>
                  <bgColor theme="0"/>
                </patternFill>
              </fill>
            </x14:dxf>
          </x14:cfRule>
          <xm:sqref>P26:P27</xm:sqref>
        </x14:conditionalFormatting>
        <x14:conditionalFormatting xmlns:xm="http://schemas.microsoft.com/office/excel/2006/main">
          <x14:cfRule type="expression" priority="2298" id="{61424433-D01F-474E-A004-3384F43F1566}">
            <xm:f>'Impact Model'!$E31=""</xm:f>
            <x14:dxf>
              <font>
                <color theme="0"/>
              </font>
              <fill>
                <patternFill patternType="solid">
                  <fgColor indexed="64"/>
                  <bgColor theme="0"/>
                </patternFill>
              </fill>
            </x14:dxf>
          </x14:cfRule>
          <xm:sqref>P31</xm:sqref>
        </x14:conditionalFormatting>
        <x14:conditionalFormatting xmlns:xm="http://schemas.microsoft.com/office/excel/2006/main">
          <x14:cfRule type="expression" priority="1895" id="{1F81C49C-DC21-FD48-B339-904B8C8FA323}">
            <xm:f>'Impact Model'!$E32=""</xm:f>
            <x14:dxf>
              <font>
                <color theme="0"/>
              </font>
              <fill>
                <patternFill patternType="solid">
                  <fgColor indexed="64"/>
                  <bgColor theme="0"/>
                </patternFill>
              </fill>
            </x14:dxf>
          </x14:cfRule>
          <xm:sqref>P32:P35</xm:sqref>
        </x14:conditionalFormatting>
        <x14:conditionalFormatting xmlns:xm="http://schemas.microsoft.com/office/excel/2006/main">
          <x14:cfRule type="expression" priority="2289" id="{2D733033-A0D7-F34D-9751-D24601C88D60}">
            <xm:f>'Impact Model'!$E39=""</xm:f>
            <x14:dxf>
              <font>
                <color theme="0"/>
              </font>
              <fill>
                <patternFill patternType="solid">
                  <fgColor indexed="64"/>
                  <bgColor theme="0"/>
                </patternFill>
              </fill>
            </x14:dxf>
          </x14:cfRule>
          <xm:sqref>P39</xm:sqref>
        </x14:conditionalFormatting>
        <x14:conditionalFormatting xmlns:xm="http://schemas.microsoft.com/office/excel/2006/main">
          <x14:cfRule type="expression" priority="1846" id="{3D7A6EF4-C3E5-C94C-900F-20337B689778}">
            <xm:f>'Impact Model'!$E40=""</xm:f>
            <x14:dxf>
              <font>
                <color theme="0"/>
              </font>
              <fill>
                <patternFill patternType="solid">
                  <fgColor indexed="64"/>
                  <bgColor theme="0"/>
                </patternFill>
              </fill>
            </x14:dxf>
          </x14:cfRule>
          <xm:sqref>P40:P43</xm:sqref>
        </x14:conditionalFormatting>
        <x14:conditionalFormatting xmlns:xm="http://schemas.microsoft.com/office/excel/2006/main">
          <x14:cfRule type="expression" priority="1981" id="{2AB9C2ED-393F-454A-B252-DFF610BF6787}">
            <xm:f>'Impact Model'!$E42=""</xm:f>
            <x14:dxf>
              <font>
                <color theme="0"/>
              </font>
              <fill>
                <patternFill patternType="solid">
                  <fgColor indexed="64"/>
                  <bgColor theme="0"/>
                </patternFill>
              </fill>
            </x14:dxf>
          </x14:cfRule>
          <xm:sqref>P42:P43</xm:sqref>
        </x14:conditionalFormatting>
        <x14:conditionalFormatting xmlns:xm="http://schemas.microsoft.com/office/excel/2006/main">
          <x14:cfRule type="expression" priority="1797" id="{F5FE6216-A826-A54B-AFCE-C0A3FCDE6BB8}">
            <xm:f>'Impact Model'!$E48=""</xm:f>
            <x14:dxf>
              <font>
                <color theme="0"/>
              </font>
              <fill>
                <patternFill patternType="solid">
                  <fgColor indexed="64"/>
                  <bgColor theme="0"/>
                </patternFill>
              </fill>
            </x14:dxf>
          </x14:cfRule>
          <xm:sqref>P48:P51</xm:sqref>
        </x14:conditionalFormatting>
        <x14:conditionalFormatting xmlns:xm="http://schemas.microsoft.com/office/excel/2006/main">
          <x14:cfRule type="expression" priority="1748" id="{A35A8001-4901-F147-BC7A-0910C7294241}">
            <xm:f>'Impact Model'!$E56=""</xm:f>
            <x14:dxf>
              <font>
                <color theme="0"/>
              </font>
              <fill>
                <patternFill patternType="solid">
                  <fgColor indexed="64"/>
                  <bgColor theme="0"/>
                </patternFill>
              </fill>
            </x14:dxf>
          </x14:cfRule>
          <xm:sqref>P56:P59</xm:sqref>
        </x14:conditionalFormatting>
        <x14:conditionalFormatting xmlns:xm="http://schemas.microsoft.com/office/excel/2006/main">
          <x14:cfRule type="expression" priority="1699" id="{FE857F3F-D692-5B4C-B19C-BA5CC12AB5DD}">
            <xm:f>'Impact Model'!$E64=""</xm:f>
            <x14:dxf>
              <font>
                <color theme="0"/>
              </font>
              <fill>
                <patternFill patternType="solid">
                  <fgColor indexed="64"/>
                  <bgColor theme="0"/>
                </patternFill>
              </fill>
            </x14:dxf>
          </x14:cfRule>
          <xm:sqref>P64:P67</xm:sqref>
        </x14:conditionalFormatting>
        <x14:conditionalFormatting xmlns:xm="http://schemas.microsoft.com/office/excel/2006/main">
          <x14:cfRule type="expression" priority="1650" id="{D240E92E-F588-364E-A808-C806AA961F58}">
            <xm:f>'Impact Model'!$E72=""</xm:f>
            <x14:dxf>
              <font>
                <color theme="0"/>
              </font>
              <fill>
                <patternFill patternType="solid">
                  <fgColor indexed="64"/>
                  <bgColor theme="0"/>
                </patternFill>
              </fill>
            </x14:dxf>
          </x14:cfRule>
          <xm:sqref>P72:P75</xm:sqref>
        </x14:conditionalFormatting>
        <x14:conditionalFormatting xmlns:xm="http://schemas.microsoft.com/office/excel/2006/main">
          <x14:cfRule type="expression" priority="1601" id="{E529B9EF-656B-D147-98B4-5F38329B060E}">
            <xm:f>'Impact Model'!$E80=""</xm:f>
            <x14:dxf>
              <font>
                <color theme="0"/>
              </font>
              <fill>
                <patternFill patternType="solid">
                  <fgColor indexed="64"/>
                  <bgColor theme="0"/>
                </patternFill>
              </fill>
            </x14:dxf>
          </x14:cfRule>
          <xm:sqref>P80:P83</xm:sqref>
        </x14:conditionalFormatting>
        <x14:conditionalFormatting xmlns:xm="http://schemas.microsoft.com/office/excel/2006/main">
          <x14:cfRule type="expression" priority="1552" id="{AED249DE-1B64-FA4E-92BC-B3B695E7DB57}">
            <xm:f>'Impact Model'!$E88=""</xm:f>
            <x14:dxf>
              <font>
                <color theme="0"/>
              </font>
              <fill>
                <patternFill patternType="solid">
                  <fgColor indexed="64"/>
                  <bgColor theme="0"/>
                </patternFill>
              </fill>
            </x14:dxf>
          </x14:cfRule>
          <xm:sqref>P88:P91</xm:sqref>
        </x14:conditionalFormatting>
        <x14:conditionalFormatting xmlns:xm="http://schemas.microsoft.com/office/excel/2006/main">
          <x14:cfRule type="expression" priority="1503" id="{E4F32C92-6ECF-EF49-8712-138B693E4544}">
            <xm:f>'Impact Model'!$E96=""</xm:f>
            <x14:dxf>
              <font>
                <color theme="0"/>
              </font>
              <fill>
                <patternFill patternType="solid">
                  <fgColor indexed="64"/>
                  <bgColor theme="0"/>
                </patternFill>
              </fill>
            </x14:dxf>
          </x14:cfRule>
          <xm:sqref>P96:P99</xm:sqref>
        </x14:conditionalFormatting>
        <x14:conditionalFormatting xmlns:xm="http://schemas.microsoft.com/office/excel/2006/main">
          <x14:cfRule type="expression" priority="1454" id="{51610D66-BC6C-CB4B-A9F5-ECFC25E9BCB6}">
            <xm:f>'Impact Model'!$E104=""</xm:f>
            <x14:dxf>
              <font>
                <color theme="0"/>
              </font>
              <fill>
                <patternFill patternType="solid">
                  <fgColor indexed="64"/>
                  <bgColor theme="0"/>
                </patternFill>
              </fill>
            </x14:dxf>
          </x14:cfRule>
          <xm:sqref>P104:P107</xm:sqref>
        </x14:conditionalFormatting>
        <x14:conditionalFormatting xmlns:xm="http://schemas.microsoft.com/office/excel/2006/main">
          <x14:cfRule type="expression" priority="1405" id="{82C22CB4-401B-6F48-90E4-C82C66F793FD}">
            <xm:f>'Impact Model'!$E112=""</xm:f>
            <x14:dxf>
              <font>
                <color theme="0"/>
              </font>
              <fill>
                <patternFill patternType="solid">
                  <fgColor indexed="64"/>
                  <bgColor theme="0"/>
                </patternFill>
              </fill>
            </x14:dxf>
          </x14:cfRule>
          <xm:sqref>P112:P115</xm:sqref>
        </x14:conditionalFormatting>
        <x14:conditionalFormatting xmlns:xm="http://schemas.microsoft.com/office/excel/2006/main">
          <x14:cfRule type="expression" priority="1356" id="{292C8409-1135-FD4D-95AE-D03345DB5931}">
            <xm:f>'Impact Model'!$E120=""</xm:f>
            <x14:dxf>
              <font>
                <color theme="0"/>
              </font>
              <fill>
                <patternFill patternType="solid">
                  <fgColor indexed="64"/>
                  <bgColor theme="0"/>
                </patternFill>
              </fill>
            </x14:dxf>
          </x14:cfRule>
          <xm:sqref>P120:P123</xm:sqref>
        </x14:conditionalFormatting>
        <x14:conditionalFormatting xmlns:xm="http://schemas.microsoft.com/office/excel/2006/main">
          <x14:cfRule type="expression" priority="1307" id="{D3E6B779-C62C-D14A-921D-0785B10785C0}">
            <xm:f>'Impact Model'!$E128=""</xm:f>
            <x14:dxf>
              <font>
                <color theme="0"/>
              </font>
              <fill>
                <patternFill patternType="solid">
                  <fgColor indexed="64"/>
                  <bgColor theme="0"/>
                </patternFill>
              </fill>
            </x14:dxf>
          </x14:cfRule>
          <xm:sqref>P128:P131</xm:sqref>
        </x14:conditionalFormatting>
        <x14:conditionalFormatting xmlns:xm="http://schemas.microsoft.com/office/excel/2006/main">
          <x14:cfRule type="expression" priority="1258" id="{B77671DE-416D-4A40-838F-2E13227626DA}">
            <xm:f>'Impact Model'!$E136=""</xm:f>
            <x14:dxf>
              <font>
                <color theme="0"/>
              </font>
              <fill>
                <patternFill patternType="solid">
                  <fgColor indexed="64"/>
                  <bgColor theme="0"/>
                </patternFill>
              </fill>
            </x14:dxf>
          </x14:cfRule>
          <xm:sqref>P136:P139</xm:sqref>
        </x14:conditionalFormatting>
        <x14:conditionalFormatting xmlns:xm="http://schemas.microsoft.com/office/excel/2006/main">
          <x14:cfRule type="expression" priority="1209" id="{93F4199F-7DAA-4C44-88B1-E440C610D7BD}">
            <xm:f>'Impact Model'!$E144=""</xm:f>
            <x14:dxf>
              <font>
                <color theme="0"/>
              </font>
              <fill>
                <patternFill patternType="solid">
                  <fgColor indexed="64"/>
                  <bgColor theme="0"/>
                </patternFill>
              </fill>
            </x14:dxf>
          </x14:cfRule>
          <xm:sqref>P144:P147</xm:sqref>
        </x14:conditionalFormatting>
        <x14:conditionalFormatting xmlns:xm="http://schemas.microsoft.com/office/excel/2006/main">
          <x14:cfRule type="expression" priority="1160" id="{A9E114E7-36B7-564A-8518-DA2B7262BCCE}">
            <xm:f>'Impact Model'!$E152=""</xm:f>
            <x14:dxf>
              <font>
                <color theme="0"/>
              </font>
              <fill>
                <patternFill patternType="solid">
                  <fgColor indexed="64"/>
                  <bgColor theme="0"/>
                </patternFill>
              </fill>
            </x14:dxf>
          </x14:cfRule>
          <xm:sqref>P152:P155</xm:sqref>
        </x14:conditionalFormatting>
        <x14:conditionalFormatting xmlns:xm="http://schemas.microsoft.com/office/excel/2006/main">
          <x14:cfRule type="expression" priority="1111" id="{1BA03410-7549-2E45-9A4E-83660AA8C680}">
            <xm:f>'Impact Model'!$E160=""</xm:f>
            <x14:dxf>
              <font>
                <color theme="0"/>
              </font>
              <fill>
                <patternFill patternType="solid">
                  <fgColor indexed="64"/>
                  <bgColor theme="0"/>
                </patternFill>
              </fill>
            </x14:dxf>
          </x14:cfRule>
          <xm:sqref>P160:P163</xm:sqref>
        </x14:conditionalFormatting>
        <x14:conditionalFormatting xmlns:xm="http://schemas.microsoft.com/office/excel/2006/main">
          <x14:cfRule type="expression" priority="1062" id="{542C8607-D45F-574B-8E1A-81134D1EE6B2}">
            <xm:f>'Impact Model'!$E168=""</xm:f>
            <x14:dxf>
              <font>
                <color theme="0"/>
              </font>
              <fill>
                <patternFill patternType="solid">
                  <fgColor indexed="64"/>
                  <bgColor theme="0"/>
                </patternFill>
              </fill>
            </x14:dxf>
          </x14:cfRule>
          <xm:sqref>P168:P171</xm:sqref>
        </x14:conditionalFormatting>
        <x14:conditionalFormatting xmlns:xm="http://schemas.microsoft.com/office/excel/2006/main">
          <x14:cfRule type="expression" priority="1013" id="{BA2A8CBA-F064-A847-90BD-AD52D76AA972}">
            <xm:f>'Impact Model'!$E176=""</xm:f>
            <x14:dxf>
              <font>
                <color theme="0"/>
              </font>
              <fill>
                <patternFill patternType="solid">
                  <fgColor indexed="64"/>
                  <bgColor theme="0"/>
                </patternFill>
              </fill>
            </x14:dxf>
          </x14:cfRule>
          <xm:sqref>P176:P179</xm:sqref>
        </x14:conditionalFormatting>
        <x14:conditionalFormatting xmlns:xm="http://schemas.microsoft.com/office/excel/2006/main">
          <x14:cfRule type="expression" priority="964" id="{DD4F3FC9-8845-A34B-9B8B-7E964DCA78B9}">
            <xm:f>'Impact Model'!$E184=""</xm:f>
            <x14:dxf>
              <font>
                <color theme="0"/>
              </font>
              <fill>
                <patternFill patternType="solid">
                  <fgColor indexed="64"/>
                  <bgColor theme="0"/>
                </patternFill>
              </fill>
            </x14:dxf>
          </x14:cfRule>
          <xm:sqref>P184:P187</xm:sqref>
        </x14:conditionalFormatting>
        <x14:conditionalFormatting xmlns:xm="http://schemas.microsoft.com/office/excel/2006/main">
          <x14:cfRule type="expression" priority="915" id="{7396F3E7-3822-3E47-BC88-A92459984BB2}">
            <xm:f>'Impact Model'!$E192=""</xm:f>
            <x14:dxf>
              <font>
                <color theme="0"/>
              </font>
              <fill>
                <patternFill patternType="solid">
                  <fgColor indexed="64"/>
                  <bgColor theme="0"/>
                </patternFill>
              </fill>
            </x14:dxf>
          </x14:cfRule>
          <xm:sqref>P192:P195</xm:sqref>
        </x14:conditionalFormatting>
        <x14:conditionalFormatting xmlns:xm="http://schemas.microsoft.com/office/excel/2006/main">
          <x14:cfRule type="expression" priority="866" id="{6FB156FA-BBC6-B440-AE62-65375222296F}">
            <xm:f>'Impact Model'!$E200=""</xm:f>
            <x14:dxf>
              <font>
                <color theme="0"/>
              </font>
              <fill>
                <patternFill patternType="solid">
                  <fgColor indexed="64"/>
                  <bgColor theme="0"/>
                </patternFill>
              </fill>
            </x14:dxf>
          </x14:cfRule>
          <xm:sqref>P200:P203</xm:sqref>
        </x14:conditionalFormatting>
        <x14:conditionalFormatting xmlns:xm="http://schemas.microsoft.com/office/excel/2006/main">
          <x14:cfRule type="expression" priority="817" id="{BC8F3956-A702-F14D-9319-2C5DAB9CFB0B}">
            <xm:f>'Impact Model'!$E208=""</xm:f>
            <x14:dxf>
              <font>
                <color theme="0"/>
              </font>
              <fill>
                <patternFill patternType="solid">
                  <fgColor indexed="64"/>
                  <bgColor theme="0"/>
                </patternFill>
              </fill>
            </x14:dxf>
          </x14:cfRule>
          <xm:sqref>P208:P211</xm:sqref>
        </x14:conditionalFormatting>
        <x14:conditionalFormatting xmlns:xm="http://schemas.microsoft.com/office/excel/2006/main">
          <x14:cfRule type="expression" priority="768" id="{C95B15EB-EEB4-014B-A447-270FC1DECCE9}">
            <xm:f>'Impact Model'!$E216=""</xm:f>
            <x14:dxf>
              <font>
                <color theme="0"/>
              </font>
              <fill>
                <patternFill patternType="solid">
                  <fgColor indexed="64"/>
                  <bgColor theme="0"/>
                </patternFill>
              </fill>
            </x14:dxf>
          </x14:cfRule>
          <xm:sqref>P216:P219</xm:sqref>
        </x14:conditionalFormatting>
        <x14:conditionalFormatting xmlns:xm="http://schemas.microsoft.com/office/excel/2006/main">
          <x14:cfRule type="expression" priority="719" id="{2AC12ACE-4092-3240-B189-CC950B3983BE}">
            <xm:f>'Impact Model'!$E224=""</xm:f>
            <x14:dxf>
              <font>
                <color theme="0"/>
              </font>
              <fill>
                <patternFill patternType="solid">
                  <fgColor indexed="64"/>
                  <bgColor theme="0"/>
                </patternFill>
              </fill>
            </x14:dxf>
          </x14:cfRule>
          <xm:sqref>P224:P227</xm:sqref>
        </x14:conditionalFormatting>
        <x14:conditionalFormatting xmlns:xm="http://schemas.microsoft.com/office/excel/2006/main">
          <x14:cfRule type="expression" priority="670" id="{8EB35A35-43B6-6044-A052-01408AA3DE12}">
            <xm:f>'Impact Model'!$E232=""</xm:f>
            <x14:dxf>
              <font>
                <color theme="0"/>
              </font>
              <fill>
                <patternFill patternType="solid">
                  <fgColor indexed="64"/>
                  <bgColor theme="0"/>
                </patternFill>
              </fill>
            </x14:dxf>
          </x14:cfRule>
          <xm:sqref>P232:P235</xm:sqref>
        </x14:conditionalFormatting>
        <x14:conditionalFormatting xmlns:xm="http://schemas.microsoft.com/office/excel/2006/main">
          <x14:cfRule type="expression" priority="621" id="{B0F6772D-97AF-E042-980E-E9CF16CEBEE7}">
            <xm:f>'Impact Model'!$E240=""</xm:f>
            <x14:dxf>
              <font>
                <color theme="0"/>
              </font>
              <fill>
                <patternFill patternType="solid">
                  <fgColor indexed="64"/>
                  <bgColor theme="0"/>
                </patternFill>
              </fill>
            </x14:dxf>
          </x14:cfRule>
          <xm:sqref>P240:P243</xm:sqref>
        </x14:conditionalFormatting>
        <x14:conditionalFormatting xmlns:xm="http://schemas.microsoft.com/office/excel/2006/main">
          <x14:cfRule type="expression" priority="572" id="{21818C79-72E8-3142-8111-BC5D8374BD1A}">
            <xm:f>'Impact Model'!$E248=""</xm:f>
            <x14:dxf>
              <font>
                <color theme="0"/>
              </font>
              <fill>
                <patternFill patternType="solid">
                  <fgColor indexed="64"/>
                  <bgColor theme="0"/>
                </patternFill>
              </fill>
            </x14:dxf>
          </x14:cfRule>
          <xm:sqref>P248:P251</xm:sqref>
        </x14:conditionalFormatting>
        <x14:conditionalFormatting xmlns:xm="http://schemas.microsoft.com/office/excel/2006/main">
          <x14:cfRule type="expression" priority="1980" id="{F0F7E755-2CF5-9043-BAD4-0FF0C48B27AA}">
            <xm:f>'Impact Model'!$E23=""</xm:f>
            <x14:dxf>
              <font>
                <color theme="0"/>
              </font>
              <fill>
                <patternFill patternType="solid">
                  <fgColor indexed="64"/>
                  <bgColor theme="0"/>
                </patternFill>
              </fill>
            </x14:dxf>
          </x14:cfRule>
          <xm:sqref>P23:R23</xm:sqref>
        </x14:conditionalFormatting>
        <x14:conditionalFormatting xmlns:xm="http://schemas.microsoft.com/office/excel/2006/main">
          <x14:cfRule type="expression" priority="3992" id="{60AF28D9-A69D-0043-90FE-BDED6A339868}">
            <xm:f>'Impact Model'!$E23=""</xm:f>
            <x14:dxf>
              <font>
                <color theme="0"/>
              </font>
              <fill>
                <patternFill patternType="solid">
                  <fgColor indexed="64"/>
                  <bgColor theme="0"/>
                </patternFill>
              </fill>
            </x14:dxf>
          </x14:cfRule>
          <xm:sqref>P23:R27 P39:R43 P47:R51 P55:R59 P63:R67 P71:R75 P79:R83 P87:R91 P95:R99 P103:R107 P111:R115 P119:R123 P127:R131 P135:R139 P143:R147 P151:R155 P159:R163 P167:R171 P175:R179 P183:R187 P191:R195 P199:R203 P207:R211 P215:R219 P223:R227 P231:R235 P239:R243 P247:R251 D23:E27 D31:E35 M135:N139 M127:N131 M119:N123 M111:N115 M103:N107 M95:N99 M87:N91 M79:N83 M71:N75 M63:N67 M55:N59 M47:N51 M39:N43 M31:N35 P31:R35 M23:N27 M143:N147 M151:N155 M159:N163 M167:N171 M175:N179 M183:N187 M191:N195 M199:N203 M207:N211 M215:N219 M223:N227 M231:N235 M239:N243 M247:N251 D39:E43 D47:D51 D48:F51 D55:E59 D63:E67 D71:E75 D79:E83 G23:K23 T23 F24:K27 T31 F32:F35 T39 T47 T55 F56:F59 T63 F64:F67 T71 F72:F75 T79 F80:F83 E87 T87 E88:F91 E95 E96:F99 E103 E104:F107 E111 E112:F115 E119 E120:F123 E127 E128:F131 E135 E136:F139 E143 E144:F147 E151 E152:F155 E159 E160:F163 E167 E168:F171 E175 E176:F179 E183 T183 E184:F187 E191 T191 E192:F195 E199 T199 E200:F203 E207 T207 E208:F211 E215 T215 E216:F219 E223 T223 E224:F227 E231 T231 E232:F235 E239 T239 E240:F243 E247 T247 E248:F251</xm:sqref>
        </x14:conditionalFormatting>
        <x14:conditionalFormatting xmlns:xm="http://schemas.microsoft.com/office/excel/2006/main">
          <x14:cfRule type="expression" priority="1978" id="{0D51AAA4-F402-C043-851C-4FBE2D1354CD}">
            <xm:f>'Impact Model'!$E31=""</xm:f>
            <x14:dxf>
              <font>
                <color theme="0"/>
              </font>
              <fill>
                <patternFill patternType="solid">
                  <fgColor indexed="64"/>
                  <bgColor theme="0"/>
                </patternFill>
              </fill>
            </x14:dxf>
          </x14:cfRule>
          <xm:sqref>P31:R31</xm:sqref>
        </x14:conditionalFormatting>
        <x14:conditionalFormatting xmlns:xm="http://schemas.microsoft.com/office/excel/2006/main">
          <x14:cfRule type="expression" priority="1976" id="{DCDE3605-B3CC-AC49-9710-B7E9388ED0F7}">
            <xm:f>'Impact Model'!$E39=""</xm:f>
            <x14:dxf>
              <font>
                <color theme="0"/>
              </font>
              <fill>
                <patternFill patternType="solid">
                  <fgColor indexed="64"/>
                  <bgColor theme="0"/>
                </patternFill>
              </fill>
            </x14:dxf>
          </x14:cfRule>
          <xm:sqref>P39:R39</xm:sqref>
        </x14:conditionalFormatting>
        <x14:conditionalFormatting xmlns:xm="http://schemas.microsoft.com/office/excel/2006/main">
          <x14:cfRule type="expression" priority="1974" id="{D0D01C8F-BA68-3C43-B9C6-FA93BB5846A7}">
            <xm:f>'Impact Model'!$E47=""</xm:f>
            <x14:dxf>
              <font>
                <color theme="0"/>
              </font>
              <fill>
                <patternFill patternType="solid">
                  <fgColor indexed="64"/>
                  <bgColor theme="0"/>
                </patternFill>
              </fill>
            </x14:dxf>
          </x14:cfRule>
          <xm:sqref>P47:R47</xm:sqref>
        </x14:conditionalFormatting>
        <x14:conditionalFormatting xmlns:xm="http://schemas.microsoft.com/office/excel/2006/main">
          <x14:cfRule type="expression" priority="1972" id="{7731DAA2-FFC1-174F-B321-11366EDA54B0}">
            <xm:f>'Impact Model'!$E55=""</xm:f>
            <x14:dxf>
              <font>
                <color theme="0"/>
              </font>
              <fill>
                <patternFill patternType="solid">
                  <fgColor indexed="64"/>
                  <bgColor theme="0"/>
                </patternFill>
              </fill>
            </x14:dxf>
          </x14:cfRule>
          <xm:sqref>P55:R55</xm:sqref>
        </x14:conditionalFormatting>
        <x14:conditionalFormatting xmlns:xm="http://schemas.microsoft.com/office/excel/2006/main">
          <x14:cfRule type="expression" priority="1970" id="{68F5BF38-5626-5C41-8412-204303156F1B}">
            <xm:f>'Impact Model'!$E63=""</xm:f>
            <x14:dxf>
              <font>
                <color theme="0"/>
              </font>
              <fill>
                <patternFill patternType="solid">
                  <fgColor indexed="64"/>
                  <bgColor theme="0"/>
                </patternFill>
              </fill>
            </x14:dxf>
          </x14:cfRule>
          <xm:sqref>P63:R63</xm:sqref>
        </x14:conditionalFormatting>
        <x14:conditionalFormatting xmlns:xm="http://schemas.microsoft.com/office/excel/2006/main">
          <x14:cfRule type="expression" priority="1968" id="{63791D68-A1DA-8148-9E88-D00B885F6DCF}">
            <xm:f>'Impact Model'!$E71=""</xm:f>
            <x14:dxf>
              <font>
                <color theme="0"/>
              </font>
              <fill>
                <patternFill patternType="solid">
                  <fgColor indexed="64"/>
                  <bgColor theme="0"/>
                </patternFill>
              </fill>
            </x14:dxf>
          </x14:cfRule>
          <xm:sqref>P71:R71</xm:sqref>
        </x14:conditionalFormatting>
        <x14:conditionalFormatting xmlns:xm="http://schemas.microsoft.com/office/excel/2006/main">
          <x14:cfRule type="expression" priority="1966" id="{1B04C76C-CD05-7A49-8282-2000F84CF52B}">
            <xm:f>'Impact Model'!$E79=""</xm:f>
            <x14:dxf>
              <font>
                <color theme="0"/>
              </font>
              <fill>
                <patternFill patternType="solid">
                  <fgColor indexed="64"/>
                  <bgColor theme="0"/>
                </patternFill>
              </fill>
            </x14:dxf>
          </x14:cfRule>
          <xm:sqref>P79:R79</xm:sqref>
        </x14:conditionalFormatting>
        <x14:conditionalFormatting xmlns:xm="http://schemas.microsoft.com/office/excel/2006/main">
          <x14:cfRule type="expression" priority="1964" id="{8B8A64C3-61BA-5649-B273-018D0658F125}">
            <xm:f>'Impact Model'!$E87=""</xm:f>
            <x14:dxf>
              <font>
                <color theme="0"/>
              </font>
              <fill>
                <patternFill patternType="solid">
                  <fgColor indexed="64"/>
                  <bgColor theme="0"/>
                </patternFill>
              </fill>
            </x14:dxf>
          </x14:cfRule>
          <xm:sqref>P87:R87</xm:sqref>
        </x14:conditionalFormatting>
        <x14:conditionalFormatting xmlns:xm="http://schemas.microsoft.com/office/excel/2006/main">
          <x14:cfRule type="expression" priority="1962" id="{482C5058-9F8D-E64E-8481-5519995156DD}">
            <xm:f>'Impact Model'!$E95=""</xm:f>
            <x14:dxf>
              <font>
                <color theme="0"/>
              </font>
              <fill>
                <patternFill patternType="solid">
                  <fgColor indexed="64"/>
                  <bgColor theme="0"/>
                </patternFill>
              </fill>
            </x14:dxf>
          </x14:cfRule>
          <xm:sqref>P95:R95</xm:sqref>
        </x14:conditionalFormatting>
        <x14:conditionalFormatting xmlns:xm="http://schemas.microsoft.com/office/excel/2006/main">
          <x14:cfRule type="expression" priority="1960" id="{13D328BE-8CB6-FB4C-9E90-68F08A564971}">
            <xm:f>'Impact Model'!$E103=""</xm:f>
            <x14:dxf>
              <font>
                <color theme="0"/>
              </font>
              <fill>
                <patternFill patternType="solid">
                  <fgColor indexed="64"/>
                  <bgColor theme="0"/>
                </patternFill>
              </fill>
            </x14:dxf>
          </x14:cfRule>
          <xm:sqref>P103:R103</xm:sqref>
        </x14:conditionalFormatting>
        <x14:conditionalFormatting xmlns:xm="http://schemas.microsoft.com/office/excel/2006/main">
          <x14:cfRule type="expression" priority="1958" id="{E3AA395E-1F77-6D47-87A1-805978FEA83F}">
            <xm:f>'Impact Model'!$E111=""</xm:f>
            <x14:dxf>
              <font>
                <color theme="0"/>
              </font>
              <fill>
                <patternFill patternType="solid">
                  <fgColor indexed="64"/>
                  <bgColor theme="0"/>
                </patternFill>
              </fill>
            </x14:dxf>
          </x14:cfRule>
          <xm:sqref>P111:R111</xm:sqref>
        </x14:conditionalFormatting>
        <x14:conditionalFormatting xmlns:xm="http://schemas.microsoft.com/office/excel/2006/main">
          <x14:cfRule type="expression" priority="1956" id="{6F01D058-00AD-4649-9247-9C25858E3E3A}">
            <xm:f>'Impact Model'!$E119=""</xm:f>
            <x14:dxf>
              <font>
                <color theme="0"/>
              </font>
              <fill>
                <patternFill patternType="solid">
                  <fgColor indexed="64"/>
                  <bgColor theme="0"/>
                </patternFill>
              </fill>
            </x14:dxf>
          </x14:cfRule>
          <xm:sqref>P119:R119</xm:sqref>
        </x14:conditionalFormatting>
        <x14:conditionalFormatting xmlns:xm="http://schemas.microsoft.com/office/excel/2006/main">
          <x14:cfRule type="expression" priority="1954" id="{7C429011-EE5D-564A-A7A5-18D846DCB6B0}">
            <xm:f>'Impact Model'!$E127=""</xm:f>
            <x14:dxf>
              <font>
                <color theme="0"/>
              </font>
              <fill>
                <patternFill patternType="solid">
                  <fgColor indexed="64"/>
                  <bgColor theme="0"/>
                </patternFill>
              </fill>
            </x14:dxf>
          </x14:cfRule>
          <xm:sqref>P127:R127</xm:sqref>
        </x14:conditionalFormatting>
        <x14:conditionalFormatting xmlns:xm="http://schemas.microsoft.com/office/excel/2006/main">
          <x14:cfRule type="expression" priority="1952" id="{E36FC452-1107-9C44-89BD-899F97FC0DF3}">
            <xm:f>'Impact Model'!$E135=""</xm:f>
            <x14:dxf>
              <font>
                <color theme="0"/>
              </font>
              <fill>
                <patternFill patternType="solid">
                  <fgColor indexed="64"/>
                  <bgColor theme="0"/>
                </patternFill>
              </fill>
            </x14:dxf>
          </x14:cfRule>
          <xm:sqref>P135:R135</xm:sqref>
        </x14:conditionalFormatting>
        <x14:conditionalFormatting xmlns:xm="http://schemas.microsoft.com/office/excel/2006/main">
          <x14:cfRule type="expression" priority="1950" id="{490B9017-A79A-E54B-A21D-410C80A75ADD}">
            <xm:f>'Impact Model'!$E143=""</xm:f>
            <x14:dxf>
              <font>
                <color theme="0"/>
              </font>
              <fill>
                <patternFill patternType="solid">
                  <fgColor indexed="64"/>
                  <bgColor theme="0"/>
                </patternFill>
              </fill>
            </x14:dxf>
          </x14:cfRule>
          <xm:sqref>P143:R143</xm:sqref>
        </x14:conditionalFormatting>
        <x14:conditionalFormatting xmlns:xm="http://schemas.microsoft.com/office/excel/2006/main">
          <x14:cfRule type="expression" priority="1948" id="{138B4278-3D5F-C945-8272-06A343B9174F}">
            <xm:f>'Impact Model'!$E151=""</xm:f>
            <x14:dxf>
              <font>
                <color theme="0"/>
              </font>
              <fill>
                <patternFill patternType="solid">
                  <fgColor indexed="64"/>
                  <bgColor theme="0"/>
                </patternFill>
              </fill>
            </x14:dxf>
          </x14:cfRule>
          <xm:sqref>P151:R151</xm:sqref>
        </x14:conditionalFormatting>
        <x14:conditionalFormatting xmlns:xm="http://schemas.microsoft.com/office/excel/2006/main">
          <x14:cfRule type="expression" priority="1945" id="{89C534CA-AE3C-994D-866E-9F06FF2C0702}">
            <xm:f>'Impact Model'!$E159=""</xm:f>
            <x14:dxf>
              <font>
                <color theme="0"/>
              </font>
              <fill>
                <patternFill patternType="solid">
                  <fgColor indexed="64"/>
                  <bgColor theme="0"/>
                </patternFill>
              </fill>
            </x14:dxf>
          </x14:cfRule>
          <xm:sqref>P159:R159</xm:sqref>
        </x14:conditionalFormatting>
        <x14:conditionalFormatting xmlns:xm="http://schemas.microsoft.com/office/excel/2006/main">
          <x14:cfRule type="expression" priority="1941" id="{598DF428-1420-4045-A85E-E0BCAA8DCF32}">
            <xm:f>'Impact Model'!$E167=""</xm:f>
            <x14:dxf>
              <font>
                <color theme="0"/>
              </font>
              <fill>
                <patternFill patternType="solid">
                  <fgColor indexed="64"/>
                  <bgColor theme="0"/>
                </patternFill>
              </fill>
            </x14:dxf>
          </x14:cfRule>
          <xm:sqref>P167:R167</xm:sqref>
        </x14:conditionalFormatting>
        <x14:conditionalFormatting xmlns:xm="http://schemas.microsoft.com/office/excel/2006/main">
          <x14:cfRule type="expression" priority="1937" id="{A0AB4A6A-7CB9-DC4B-940A-379AEAA711A9}">
            <xm:f>'Impact Model'!$E175=""</xm:f>
            <x14:dxf>
              <font>
                <color theme="0"/>
              </font>
              <fill>
                <patternFill patternType="solid">
                  <fgColor indexed="64"/>
                  <bgColor theme="0"/>
                </patternFill>
              </fill>
            </x14:dxf>
          </x14:cfRule>
          <xm:sqref>P175:R175</xm:sqref>
        </x14:conditionalFormatting>
        <x14:conditionalFormatting xmlns:xm="http://schemas.microsoft.com/office/excel/2006/main">
          <x14:cfRule type="expression" priority="1933" id="{3CC2BAF6-2EC8-3840-A51F-9A4BA4E6AFB6}">
            <xm:f>'Impact Model'!$E183=""</xm:f>
            <x14:dxf>
              <font>
                <color theme="0"/>
              </font>
              <fill>
                <patternFill patternType="solid">
                  <fgColor indexed="64"/>
                  <bgColor theme="0"/>
                </patternFill>
              </fill>
            </x14:dxf>
          </x14:cfRule>
          <xm:sqref>P183:R183</xm:sqref>
        </x14:conditionalFormatting>
        <x14:conditionalFormatting xmlns:xm="http://schemas.microsoft.com/office/excel/2006/main">
          <x14:cfRule type="expression" priority="1929" id="{7686C449-795E-D142-A239-242A54EE044A}">
            <xm:f>'Impact Model'!$E191=""</xm:f>
            <x14:dxf>
              <font>
                <color theme="0"/>
              </font>
              <fill>
                <patternFill patternType="solid">
                  <fgColor indexed="64"/>
                  <bgColor theme="0"/>
                </patternFill>
              </fill>
            </x14:dxf>
          </x14:cfRule>
          <xm:sqref>P191:R191</xm:sqref>
        </x14:conditionalFormatting>
        <x14:conditionalFormatting xmlns:xm="http://schemas.microsoft.com/office/excel/2006/main">
          <x14:cfRule type="expression" priority="1925" id="{DC6E7A93-9ED4-854F-8E66-F58AFED71946}">
            <xm:f>'Impact Model'!$E199=""</xm:f>
            <x14:dxf>
              <font>
                <color theme="0"/>
              </font>
              <fill>
                <patternFill patternType="solid">
                  <fgColor indexed="64"/>
                  <bgColor theme="0"/>
                </patternFill>
              </fill>
            </x14:dxf>
          </x14:cfRule>
          <xm:sqref>P199:R199</xm:sqref>
        </x14:conditionalFormatting>
        <x14:conditionalFormatting xmlns:xm="http://schemas.microsoft.com/office/excel/2006/main">
          <x14:cfRule type="expression" priority="1921" id="{653FA508-A5FD-424F-BA9B-516297B77214}">
            <xm:f>'Impact Model'!$E207=""</xm:f>
            <x14:dxf>
              <font>
                <color theme="0"/>
              </font>
              <fill>
                <patternFill patternType="solid">
                  <fgColor indexed="64"/>
                  <bgColor theme="0"/>
                </patternFill>
              </fill>
            </x14:dxf>
          </x14:cfRule>
          <xm:sqref>P207:R207</xm:sqref>
        </x14:conditionalFormatting>
        <x14:conditionalFormatting xmlns:xm="http://schemas.microsoft.com/office/excel/2006/main">
          <x14:cfRule type="expression" priority="1917" id="{4A00D592-E3B4-274A-B2DD-01464E543CE0}">
            <xm:f>'Impact Model'!$E215=""</xm:f>
            <x14:dxf>
              <font>
                <color theme="0"/>
              </font>
              <fill>
                <patternFill patternType="solid">
                  <fgColor indexed="64"/>
                  <bgColor theme="0"/>
                </patternFill>
              </fill>
            </x14:dxf>
          </x14:cfRule>
          <xm:sqref>P215:R215</xm:sqref>
        </x14:conditionalFormatting>
        <x14:conditionalFormatting xmlns:xm="http://schemas.microsoft.com/office/excel/2006/main">
          <x14:cfRule type="expression" priority="1913" id="{3F78C10E-1AE9-9D4A-A99D-93C594A00DBA}">
            <xm:f>'Impact Model'!$E223=""</xm:f>
            <x14:dxf>
              <font>
                <color theme="0"/>
              </font>
              <fill>
                <patternFill patternType="solid">
                  <fgColor indexed="64"/>
                  <bgColor theme="0"/>
                </patternFill>
              </fill>
            </x14:dxf>
          </x14:cfRule>
          <xm:sqref>P223:R223</xm:sqref>
        </x14:conditionalFormatting>
        <x14:conditionalFormatting xmlns:xm="http://schemas.microsoft.com/office/excel/2006/main">
          <x14:cfRule type="expression" priority="1909" id="{880F6A1D-303E-2949-B54A-73FBBF1647A0}">
            <xm:f>'Impact Model'!$E231=""</xm:f>
            <x14:dxf>
              <font>
                <color theme="0"/>
              </font>
              <fill>
                <patternFill patternType="solid">
                  <fgColor indexed="64"/>
                  <bgColor theme="0"/>
                </patternFill>
              </fill>
            </x14:dxf>
          </x14:cfRule>
          <xm:sqref>P231:R231</xm:sqref>
        </x14:conditionalFormatting>
        <x14:conditionalFormatting xmlns:xm="http://schemas.microsoft.com/office/excel/2006/main">
          <x14:cfRule type="expression" priority="1905" id="{0DE603AE-E7C9-AB47-83AC-C30C6C601685}">
            <xm:f>'Impact Model'!$E239=""</xm:f>
            <x14:dxf>
              <font>
                <color theme="0"/>
              </font>
              <fill>
                <patternFill patternType="solid">
                  <fgColor indexed="64"/>
                  <bgColor theme="0"/>
                </patternFill>
              </fill>
            </x14:dxf>
          </x14:cfRule>
          <xm:sqref>P239:R239</xm:sqref>
        </x14:conditionalFormatting>
        <x14:conditionalFormatting xmlns:xm="http://schemas.microsoft.com/office/excel/2006/main">
          <x14:cfRule type="expression" priority="1901" id="{1279C1C9-05B1-FE43-8532-D327C6B3AB7A}">
            <xm:f>'Impact Model'!$E247=""</xm:f>
            <x14:dxf>
              <font>
                <color theme="0"/>
              </font>
              <fill>
                <patternFill patternType="solid">
                  <fgColor indexed="64"/>
                  <bgColor theme="0"/>
                </patternFill>
              </fill>
            </x14:dxf>
          </x14:cfRule>
          <xm:sqref>P247:R247</xm:sqref>
        </x14:conditionalFormatting>
        <x14:conditionalFormatting xmlns:xm="http://schemas.microsoft.com/office/excel/2006/main">
          <x14:cfRule type="expression" priority="18746" id="{7E3853F1-3114-BC4D-A60D-73773E81F42D}">
            <xm:f>'Impact Model'!$C23=""</xm:f>
            <x14:dxf>
              <font>
                <color theme="0"/>
              </font>
              <fill>
                <patternFill patternType="solid">
                  <fgColor indexed="64"/>
                  <bgColor theme="0"/>
                </patternFill>
              </fill>
            </x14:dxf>
          </x14:cfRule>
          <xm:sqref>T95 T103 T111 T119 T127 T135 T143 T151 T159 T167 T175 B23:C23 B31:C31 B39:C39 B47:C47 B55:C55 B63:C63 B71:C71 B79:C79 B87:C87 B95:C95 B103:C103 B111:C111 B119:C119 B127:C127 B135:C135 B143:C143 B151:C151 B159:C159 B167:C167 B175:C175 B183:C183 B191:C191 B199:C199 B207:C207 B215:C215 B223:C223 B231:C231 B239:C239 B247:C247</xm:sqref>
        </x14:conditionalFormatting>
      </x14:conditionalFormatting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2E131-BFF7-40F0-9D47-7450FD5EE107}">
  <dimension ref="A1:A7"/>
  <sheetViews>
    <sheetView workbookViewId="0">
      <selection activeCell="A8" sqref="A8"/>
    </sheetView>
  </sheetViews>
  <sheetFormatPr defaultRowHeight="15.75"/>
  <cols>
    <col min="1" max="1" width="160.5" style="27" customWidth="1"/>
  </cols>
  <sheetData>
    <row r="1" spans="1:1">
      <c r="A1" s="27" t="s">
        <v>152</v>
      </c>
    </row>
    <row r="2" spans="1:1">
      <c r="A2" s="27" t="s">
        <v>153</v>
      </c>
    </row>
    <row r="3" spans="1:1" ht="31.5">
      <c r="A3" s="157" t="s">
        <v>163</v>
      </c>
    </row>
    <row r="4" spans="1:1">
      <c r="A4" s="27" t="s">
        <v>159</v>
      </c>
    </row>
    <row r="5" spans="1:1">
      <c r="A5" s="27" t="s">
        <v>164</v>
      </c>
    </row>
    <row r="6" spans="1:1">
      <c r="A6" s="27" t="s">
        <v>165</v>
      </c>
    </row>
    <row r="7" spans="1:1">
      <c r="A7" s="27" t="s">
        <v>166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eDocument" ma:contentTypeID="0x010100BF0EC9A9B1A8434EA295AD184FAAAAC600C10E1B25A9B79E48A5C76C36D485F625" ma:contentTypeVersion="102" ma:contentTypeDescription="Create a new document." ma:contentTypeScope="" ma:versionID="ceff1bfd64ded0a20376f23c1066d59d">
  <xsd:schema xmlns:xsd="http://www.w3.org/2001/XMLSchema" xmlns:xs="http://www.w3.org/2001/XMLSchema" xmlns:p="http://schemas.microsoft.com/office/2006/metadata/properties" xmlns:ns2="2f67f75e-f1e6-47ab-8d9a-b2f0a0443098" xmlns:ns3="4a89b0a4-ebbc-4fa4-a3b2-09d5d1e376bb" xmlns:ns4="4f9c820c-e7e2-444d-97ee-45f2b3485c1d" xmlns:ns5="15ffb055-6eb4-45a1-bc20-bf2ac0d420da" xmlns:ns6="725c79e5-42ce-4aa0-ac78-b6418001f0d2" xmlns:ns7="c91a514c-9034-4fa3-897a-8352025b26ed" xmlns:ns8="7af8820d-5d77-49fd-a90f-de67c7df7ae1" xmlns:ns9="6824bcf6-5ad5-413a-b6b4-3db2634f7b96" xmlns:ns10="e339226f-05a1-4fe4-bebf-41fdd87e6f3e" xmlns:ns11="3e67a2f4-f7c3-4498-9443-74709da0f3db" xmlns:ns12="9d1aa4d7-0041-433b-bddb-63839643dea5" targetNamespace="http://schemas.microsoft.com/office/2006/metadata/properties" ma:root="true" ma:fieldsID="511283a43b4bde6d37d4256cb7895666" ns2:_="" ns3:_="" ns4:_="" ns5:_="" ns6:_="" ns7:_="" ns8:_="" ns9:_="" ns10:_="" ns11:_="" ns12:_="">
    <xsd:import namespace="2f67f75e-f1e6-47ab-8d9a-b2f0a0443098"/>
    <xsd:import namespace="4a89b0a4-ebbc-4fa4-a3b2-09d5d1e376bb"/>
    <xsd:import namespace="4f9c820c-e7e2-444d-97ee-45f2b3485c1d"/>
    <xsd:import namespace="15ffb055-6eb4-45a1-bc20-bf2ac0d420da"/>
    <xsd:import namespace="725c79e5-42ce-4aa0-ac78-b6418001f0d2"/>
    <xsd:import namespace="c91a514c-9034-4fa3-897a-8352025b26ed"/>
    <xsd:import namespace="7af8820d-5d77-49fd-a90f-de67c7df7ae1"/>
    <xsd:import namespace="6824bcf6-5ad5-413a-b6b4-3db2634f7b96"/>
    <xsd:import namespace="e339226f-05a1-4fe4-bebf-41fdd87e6f3e"/>
    <xsd:import namespace="3e67a2f4-f7c3-4498-9443-74709da0f3db"/>
    <xsd:import namespace="9d1aa4d7-0041-433b-bddb-63839643dea5"/>
    <xsd:element name="properties">
      <xsd:complexType>
        <xsd:sequence>
          <xsd:element name="documentManagement">
            <xsd:complexType>
              <xsd:all>
                <xsd:element ref="ns2:_dlc_DocId" minOccurs="0"/>
                <xsd:element ref="ns2:_dlc_DocIdUrl" minOccurs="0"/>
                <xsd:element ref="ns2:_dlc_DocIdPersistId" minOccurs="0"/>
                <xsd:element ref="ns3:lcf76f155ced4ddcb4097134ff3c332f" minOccurs="0"/>
                <xsd:element ref="ns2:TaxCatchAll" minOccurs="0"/>
                <xsd:element ref="ns4:DocumentType" minOccurs="0"/>
                <xsd:element ref="ns5:KeyWords" minOccurs="0"/>
                <xsd:element ref="ns4:Narrative" minOccurs="0"/>
                <xsd:element ref="ns5:SecurityClassification" minOccurs="0"/>
                <xsd:element ref="ns4:Subactivity" minOccurs="0"/>
                <xsd:element ref="ns4:Case" minOccurs="0"/>
                <xsd:element ref="ns4:RelatedPeople" minOccurs="0"/>
                <xsd:element ref="ns4:CategoryName" minOccurs="0"/>
                <xsd:element ref="ns4:CategoryValue" minOccurs="0"/>
                <xsd:element ref="ns4:BusinessValue" minOccurs="0"/>
                <xsd:element ref="ns4:FunctionGroup" minOccurs="0"/>
                <xsd:element ref="ns4:Function" minOccurs="0"/>
                <xsd:element ref="ns4:PRAType" minOccurs="0"/>
                <xsd:element ref="ns4:PRADate1" minOccurs="0"/>
                <xsd:element ref="ns4:PRADate2" minOccurs="0"/>
                <xsd:element ref="ns4:PRADate3" minOccurs="0"/>
                <xsd:element ref="ns4:PRADateDisposal" minOccurs="0"/>
                <xsd:element ref="ns4:PRADateTrigger" minOccurs="0"/>
                <xsd:element ref="ns4:PRAText1" minOccurs="0"/>
                <xsd:element ref="ns4:PRAText2" minOccurs="0"/>
                <xsd:element ref="ns4:PRAText3" minOccurs="0"/>
                <xsd:element ref="ns4:PRAText4" minOccurs="0"/>
                <xsd:element ref="ns4:PRAText5" minOccurs="0"/>
                <xsd:element ref="ns4:AggregationStatus" minOccurs="0"/>
                <xsd:element ref="ns4:Project" minOccurs="0"/>
                <xsd:element ref="ns4:Activity" minOccurs="0"/>
                <xsd:element ref="ns6:AggregationNarrative" minOccurs="0"/>
                <xsd:element ref="ns7:Channel" minOccurs="0"/>
                <xsd:element ref="ns7:Team" minOccurs="0"/>
                <xsd:element ref="ns7:Level2" minOccurs="0"/>
                <xsd:element ref="ns7:Level3" minOccurs="0"/>
                <xsd:element ref="ns7:Year" minOccurs="0"/>
                <xsd:element ref="ns7:OverrideLabel" minOccurs="0"/>
                <xsd:element ref="ns7:SetLabel" minOccurs="0"/>
                <xsd:element ref="ns8:zMigrationID" minOccurs="0"/>
                <xsd:element ref="ns8:zLegacy" minOccurs="0"/>
                <xsd:element ref="ns8:zLegacyJSON" minOccurs="0"/>
                <xsd:element ref="ns9:Status" minOccurs="0"/>
                <xsd:element ref="ns9:RelatedConsent" minOccurs="0"/>
                <xsd:element ref="ns10:ConsentID" minOccurs="0"/>
                <xsd:element ref="ns11:TransferredTimestamp" minOccurs="0"/>
                <xsd:element ref="ns12:Links" minOccurs="0"/>
                <xsd:element ref="ns3:MediaServiceMetadata" minOccurs="0"/>
                <xsd:element ref="ns3:MediaServiceFastMetadata" minOccurs="0"/>
                <xsd:element ref="ns3:MediaServiceDateTaken" minOccurs="0"/>
                <xsd:element ref="ns3:MediaServiceObjectDetectorVersions" minOccurs="0"/>
                <xsd:element ref="ns3:MediaServiceOCR" minOccurs="0"/>
                <xsd:element ref="ns3:MediaServiceGenerationTime" minOccurs="0"/>
                <xsd:element ref="ns3:MediaServiceEventHashCode" minOccurs="0"/>
                <xsd:element ref="ns3:MediaServiceLocatio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67f75e-f1e6-47ab-8d9a-b2f0a044309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b905ea1-d79e-4663-a00e-55a71969ae22}" ma:internalName="TaxCatchAll" ma:showField="CatchAllData" ma:web="2f67f75e-f1e6-47ab-8d9a-b2f0a044309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a89b0a4-ebbc-4fa4-a3b2-09d5d1e376bb" elementFormDefault="qualified">
    <xsd:import namespace="http://schemas.microsoft.com/office/2006/documentManagement/types"/>
    <xsd:import namespace="http://schemas.microsoft.com/office/infopath/2007/PartnerControls"/>
    <xsd:element name="lcf76f155ced4ddcb4097134ff3c332f" ma:index="11" nillable="true" ma:displayName="MediaServiceImageTags0_0" ma:hidden="true" ma:internalName="lcf76f155ced4ddcb4097134ff3c332f">
      <xsd:simpleType>
        <xsd:restriction base="dms:Note"/>
      </xsd:simpleType>
    </xsd:element>
    <xsd:element name="MediaServiceMetadata" ma:index="55" nillable="true" ma:displayName="MediaServiceMetadata" ma:hidden="true" ma:internalName="MediaServiceMetadata" ma:readOnly="true">
      <xsd:simpleType>
        <xsd:restriction base="dms:Note"/>
      </xsd:simpleType>
    </xsd:element>
    <xsd:element name="MediaServiceFastMetadata" ma:index="56" nillable="true" ma:displayName="MediaServiceFastMetadata" ma:hidden="true" ma:internalName="MediaServiceFastMetadata" ma:readOnly="true">
      <xsd:simpleType>
        <xsd:restriction base="dms:Note"/>
      </xsd:simpleType>
    </xsd:element>
    <xsd:element name="MediaServiceDateTaken" ma:index="57" nillable="true" ma:displayName="MediaServiceDateTaken" ma:hidden="true" ma:indexed="true" ma:internalName="MediaServiceDateTaken" ma:readOnly="true">
      <xsd:simpleType>
        <xsd:restriction base="dms:Text"/>
      </xsd:simpleType>
    </xsd:element>
    <xsd:element name="MediaServiceObjectDetectorVersions" ma:index="58" nillable="true" ma:displayName="MediaServiceObjectDetectorVersions" ma:hidden="true" ma:indexed="true" ma:internalName="MediaServiceObjectDetectorVersions" ma:readOnly="true">
      <xsd:simpleType>
        <xsd:restriction base="dms:Text"/>
      </xsd:simpleType>
    </xsd:element>
    <xsd:element name="MediaServiceOCR" ma:index="59" nillable="true" ma:displayName="Extracted Text" ma:internalName="MediaServiceOCR" ma:readOnly="true">
      <xsd:simpleType>
        <xsd:restriction base="dms:Note">
          <xsd:maxLength value="255"/>
        </xsd:restriction>
      </xsd:simpleType>
    </xsd:element>
    <xsd:element name="MediaServiceGenerationTime" ma:index="60" nillable="true" ma:displayName="MediaServiceGenerationTime" ma:hidden="true" ma:internalName="MediaServiceGenerationTime" ma:readOnly="true">
      <xsd:simpleType>
        <xsd:restriction base="dms:Text"/>
      </xsd:simpleType>
    </xsd:element>
    <xsd:element name="MediaServiceEventHashCode" ma:index="61" nillable="true" ma:displayName="MediaServiceEventHashCode" ma:hidden="true" ma:internalName="MediaServiceEventHashCode" ma:readOnly="true">
      <xsd:simpleType>
        <xsd:restriction base="dms:Text"/>
      </xsd:simpleType>
    </xsd:element>
    <xsd:element name="MediaServiceLocation" ma:index="62" nillable="true" ma:displayName="Location" ma:indexed="true" ma:internalName="MediaServiceLocation" ma:readOnly="true">
      <xsd:simpleType>
        <xsd:restriction base="dms:Text"/>
      </xsd:simpleType>
    </xsd:element>
    <xsd:element name="MediaServiceSearchProperties" ma:index="63" nillable="true" ma:displayName="MediaServiceSearchProperties" ma:hidden="true" ma:internalName="MediaServiceSearchProperties" ma:readOnly="true">
      <xsd:simpleType>
        <xsd:restriction base="dms:Note"/>
      </xsd:simpleType>
    </xsd:element>
    <xsd:element name="MediaLengthInSeconds" ma:index="6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f9c820c-e7e2-444d-97ee-45f2b3485c1d" elementFormDefault="qualified">
    <xsd:import namespace="http://schemas.microsoft.com/office/2006/documentManagement/types"/>
    <xsd:import namespace="http://schemas.microsoft.com/office/infopath/2007/PartnerControls"/>
    <xsd:element name="DocumentType" ma:index="13" nillable="true" ma:displayName="Document Type" ma:format="Dropdown" ma:hidden="true" ma:internalName="DocumentType" ma:readOnly="false">
      <xsd:simpleType>
        <xsd:restriction base="dms:Choice">
          <xsd:enumeration value="APPLICATION, certificate, consent related"/>
          <xsd:enumeration value="CONTRACT, Variation, Agreement"/>
          <xsd:enumeration value="CORRESPONDENCE"/>
          <xsd:enumeration value="DRAWING, Plan, Map"/>
          <xsd:enumeration value="EMPLOYMENT related"/>
          <xsd:enumeration value="FINANCIAL related"/>
          <xsd:enumeration value="KNOWLEDGE article"/>
          <xsd:enumeration value="MEETING related"/>
          <xsd:enumeration value="MEMO, Filenote, Email"/>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element>
    <xsd:element name="Narrative" ma:index="15" nillable="true" ma:displayName="Narrative" ma:hidden="true" ma:internalName="Narrative" ma:readOnly="false">
      <xsd:simpleType>
        <xsd:restriction base="dms:Note"/>
      </xsd:simpleType>
    </xsd:element>
    <xsd:element name="Subactivity" ma:index="17" nillable="true" ma:displayName="Subactivity" ma:format="Dropdown" ma:hidden="true" ma:internalName="Subactivity" ma:readOnly="false">
      <xsd:simpleType>
        <xsd:union memberTypes="dms:Text">
          <xsd:simpleType>
            <xsd:restriction base="dms:Choice">
              <xsd:enumeration value="Consents Hearings"/>
              <xsd:enumeration value="Consents General"/>
              <xsd:enumeration value="Costs"/>
              <xsd:enumeration value="Consent Docs Online"/>
            </xsd:restriction>
          </xsd:simpleType>
        </xsd:union>
      </xsd:simpleType>
    </xsd:element>
    <xsd:element name="Case" ma:index="18" nillable="true" ma:displayName="Case" ma:default="NA" ma:hidden="true" ma:internalName="Case" ma:readOnly="false">
      <xsd:simpleType>
        <xsd:restriction base="dms:Text">
          <xsd:maxLength value="255"/>
        </xsd:restriction>
      </xsd:simpleType>
    </xsd:element>
    <xsd:element name="RelatedPeople" ma:index="19" nillable="true" ma:displayName="Related People" ma:hidden="true" ma:list="UserInfo" ma:SharePointGroup="0" ma:internalName="RelatedPeop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tegoryName" ma:index="20" nillable="true" ma:displayName="Category 1" ma:default="NA" ma:hidden="true" ma:internalName="CategoryName" ma:readOnly="false">
      <xsd:simpleType>
        <xsd:restriction base="dms:Text">
          <xsd:maxLength value="255"/>
        </xsd:restriction>
      </xsd:simpleType>
    </xsd:element>
    <xsd:element name="CategoryValue" ma:index="21" nillable="true" ma:displayName="Category 2" ma:default="NA" ma:hidden="true" ma:internalName="CategoryValue" ma:readOnly="false">
      <xsd:simpleType>
        <xsd:restriction base="dms:Text">
          <xsd:maxLength value="255"/>
        </xsd:restriction>
      </xsd:simpleType>
    </xsd:element>
    <xsd:element name="BusinessValue" ma:index="22" nillable="true" ma:displayName="Business Value" ma:hidden="true" ma:internalName="BusinessValue" ma:readOnly="false">
      <xsd:simpleType>
        <xsd:restriction base="dms:Text">
          <xsd:maxLength value="255"/>
        </xsd:restriction>
      </xsd:simpleType>
    </xsd:element>
    <xsd:element name="FunctionGroup" ma:index="23" nillable="true" ma:displayName="Function Group" ma:default="Regulatory" ma:hidden="true" ma:internalName="FunctionGroup" ma:readOnly="false">
      <xsd:simpleType>
        <xsd:restriction base="dms:Text">
          <xsd:maxLength value="255"/>
        </xsd:restriction>
      </xsd:simpleType>
    </xsd:element>
    <xsd:element name="Function" ma:index="24" nillable="true" ma:displayName="Function" ma:default="Resource Consents" ma:hidden="true" ma:internalName="Function" ma:readOnly="false">
      <xsd:simpleType>
        <xsd:restriction base="dms:Text">
          <xsd:maxLength value="255"/>
        </xsd:restriction>
      </xsd:simpleType>
    </xsd:element>
    <xsd:element name="PRAType" ma:index="25" nillable="true" ma:displayName="PRA Type" ma:default="Doc" ma:hidden="true" ma:indexed="true" ma:internalName="PRAType" ma:readOnly="false">
      <xsd:simpleType>
        <xsd:restriction base="dms:Text">
          <xsd:maxLength value="255"/>
        </xsd:restriction>
      </xsd:simpleType>
    </xsd:element>
    <xsd:element name="PRADate1" ma:index="26" nillable="true" ma:displayName="PRA Date 1" ma:format="DateOnly" ma:hidden="true" ma:internalName="PRADate1" ma:readOnly="false">
      <xsd:simpleType>
        <xsd:restriction base="dms:DateTime"/>
      </xsd:simpleType>
    </xsd:element>
    <xsd:element name="PRADate2" ma:index="27" nillable="true" ma:displayName="PRA Date 2" ma:format="DateOnly" ma:hidden="true" ma:internalName="PRADate2" ma:readOnly="false">
      <xsd:simpleType>
        <xsd:restriction base="dms:DateTime"/>
      </xsd:simpleType>
    </xsd:element>
    <xsd:element name="PRADate3" ma:index="28" nillable="true" ma:displayName="PRA Date 3" ma:format="DateOnly" ma:hidden="true" ma:internalName="PRADate3" ma:readOnly="false">
      <xsd:simpleType>
        <xsd:restriction base="dms:DateTime"/>
      </xsd:simpleType>
    </xsd:element>
    <xsd:element name="PRADateDisposal" ma:index="29" nillable="true" ma:displayName="PRA Date Disposal" ma:format="DateOnly" ma:hidden="true" ma:internalName="PRADateDisposal" ma:readOnly="false">
      <xsd:simpleType>
        <xsd:restriction base="dms:DateTime"/>
      </xsd:simpleType>
    </xsd:element>
    <xsd:element name="PRADateTrigger" ma:index="30" nillable="true" ma:displayName="PRA Date Trigger" ma:format="DateOnly" ma:hidden="true" ma:internalName="PRADateTrigger" ma:readOnly="false">
      <xsd:simpleType>
        <xsd:restriction base="dms:DateTime"/>
      </xsd:simpleType>
    </xsd:element>
    <xsd:element name="PRAText1" ma:index="31" nillable="true" ma:displayName="PRA Text 1" ma:hidden="true" ma:internalName="PRAText1" ma:readOnly="false">
      <xsd:simpleType>
        <xsd:restriction base="dms:Text">
          <xsd:maxLength value="255"/>
        </xsd:restriction>
      </xsd:simpleType>
    </xsd:element>
    <xsd:element name="PRAText2" ma:index="32" nillable="true" ma:displayName="PRA Text 2" ma:hidden="true" ma:internalName="PRAText2" ma:readOnly="false">
      <xsd:simpleType>
        <xsd:restriction base="dms:Text">
          <xsd:maxLength value="255"/>
        </xsd:restriction>
      </xsd:simpleType>
    </xsd:element>
    <xsd:element name="PRAText3" ma:index="33" nillable="true" ma:displayName="PRA Text 3" ma:hidden="true" ma:internalName="PRAText3" ma:readOnly="false">
      <xsd:simpleType>
        <xsd:restriction base="dms:Text">
          <xsd:maxLength value="255"/>
        </xsd:restriction>
      </xsd:simpleType>
    </xsd:element>
    <xsd:element name="PRAText4" ma:index="34" nillable="true" ma:displayName="PRA Text 4" ma:hidden="true" ma:internalName="PRAText4" ma:readOnly="false">
      <xsd:simpleType>
        <xsd:restriction base="dms:Text">
          <xsd:maxLength value="255"/>
        </xsd:restriction>
      </xsd:simpleType>
    </xsd:element>
    <xsd:element name="PRAText5" ma:index="35" nillable="true" ma:displayName="PRA Text 5" ma:hidden="true" ma:indexed="true" ma:internalName="PRAText5" ma:readOnly="false">
      <xsd:simpleType>
        <xsd:restriction base="dms:Text">
          <xsd:maxLength value="255"/>
        </xsd:restriction>
      </xsd:simpleType>
    </xsd:element>
    <xsd:element name="AggregationStatus" ma:index="36" nillable="true" ma:displayName="Aggregation Status" ma:default="Normal" ma:format="Dropdown" ma:hidden="true" ma:internalName="AggregationStatus" ma:readOnly="false">
      <xsd:simpleType>
        <xsd:union memberTypes="dms:Text">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enumeration value="Archive"/>
            </xsd:restriction>
          </xsd:simpleType>
        </xsd:union>
      </xsd:simpleType>
    </xsd:element>
    <xsd:element name="Project" ma:index="37" nillable="true" ma:displayName="Project" ma:default="NA" ma:hidden="true" ma:internalName="Project" ma:readOnly="false">
      <xsd:simpleType>
        <xsd:restriction base="dms:Text">
          <xsd:maxLength value="255"/>
        </xsd:restriction>
      </xsd:simpleType>
    </xsd:element>
    <xsd:element name="Activity" ma:index="38" nillable="true" ma:displayName="Activity" ma:default="Resource Consents 2024" ma:hidden="true" ma:internalName="Activity"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b055-6eb4-45a1-bc20-bf2ac0d420da" elementFormDefault="qualified">
    <xsd:import namespace="http://schemas.microsoft.com/office/2006/documentManagement/types"/>
    <xsd:import namespace="http://schemas.microsoft.com/office/infopath/2007/PartnerControls"/>
    <xsd:element name="KeyWords" ma:index="14" nillable="true" ma:displayName="Key Words" ma:hidden="true" ma:internalName="KeyWords" ma:readOnly="false">
      <xsd:simpleType>
        <xsd:restriction base="dms:Note"/>
      </xsd:simpleType>
    </xsd:element>
    <xsd:element name="SecurityClassification" ma:index="16" nillable="true" ma:displayName="Security Classification" ma:format="Dropdown" ma:hidden="true" ma:internalName="SecurityClassification" ma:readOnly="false">
      <xsd:simpleType>
        <xsd:restriction base="dms:Choice">
          <xsd:enumeration value="Confidential"/>
          <xsd:enumeration value="Restricted"/>
          <xsd:enumeration value="Unrestricted"/>
        </xsd:restriction>
      </xsd:simpleType>
    </xsd:element>
  </xsd:schema>
  <xsd:schema xmlns:xsd="http://www.w3.org/2001/XMLSchema" xmlns:xs="http://www.w3.org/2001/XMLSchema" xmlns:dms="http://schemas.microsoft.com/office/2006/documentManagement/types" xmlns:pc="http://schemas.microsoft.com/office/infopath/2007/PartnerControls" targetNamespace="725c79e5-42ce-4aa0-ac78-b6418001f0d2" elementFormDefault="qualified">
    <xsd:import namespace="http://schemas.microsoft.com/office/2006/documentManagement/types"/>
    <xsd:import namespace="http://schemas.microsoft.com/office/infopath/2007/PartnerControls"/>
    <xsd:element name="AggregationNarrative" ma:index="39" nillable="true" ma:displayName="Aggregation Narrative" ma:hidden="true" ma:internalName="AggregationNarrativ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1a514c-9034-4fa3-897a-8352025b26ed" elementFormDefault="qualified">
    <xsd:import namespace="http://schemas.microsoft.com/office/2006/documentManagement/types"/>
    <xsd:import namespace="http://schemas.microsoft.com/office/infopath/2007/PartnerControls"/>
    <xsd:element name="Channel" ma:index="40" nillable="true" ma:displayName="Channel" ma:default="NA" ma:hidden="true" ma:internalName="Channel" ma:readOnly="false">
      <xsd:simpleType>
        <xsd:restriction base="dms:Text">
          <xsd:maxLength value="255"/>
        </xsd:restriction>
      </xsd:simpleType>
    </xsd:element>
    <xsd:element name="Team" ma:index="41" nillable="true" ma:displayName="Team" ma:default="Resource Consents" ma:hidden="true" ma:internalName="Team" ma:readOnly="false">
      <xsd:simpleType>
        <xsd:restriction base="dms:Text">
          <xsd:maxLength value="255"/>
        </xsd:restriction>
      </xsd:simpleType>
    </xsd:element>
    <xsd:element name="Level2" ma:index="42" nillable="true" ma:displayName="Level2" ma:default="NA" ma:hidden="true" ma:internalName="Level2" ma:readOnly="false">
      <xsd:simpleType>
        <xsd:restriction base="dms:Text">
          <xsd:maxLength value="255"/>
        </xsd:restriction>
      </xsd:simpleType>
    </xsd:element>
    <xsd:element name="Level3" ma:index="43" nillable="true" ma:displayName="Level3" ma:hidden="true" ma:internalName="Level3" ma:readOnly="false">
      <xsd:simpleType>
        <xsd:restriction base="dms:Text">
          <xsd:maxLength value="255"/>
        </xsd:restriction>
      </xsd:simpleType>
    </xsd:element>
    <xsd:element name="Year" ma:index="44" nillable="true" ma:displayName="Year" ma:default="2024" ma:hidden="true" ma:internalName="Year" ma:readOnly="false">
      <xsd:simpleType>
        <xsd:restriction base="dms:Text">
          <xsd:maxLength value="255"/>
        </xsd:restriction>
      </xsd:simpleType>
    </xsd:element>
    <xsd:element name="OverrideLabel" ma:index="45" nillable="true" ma:displayName="Override Label" ma:hidden="true" ma:indexed="true" ma:internalName="OverrideLabel" ma:readOnly="false">
      <xsd:simpleType>
        <xsd:restriction base="dms:Text">
          <xsd:maxLength value="255"/>
        </xsd:restriction>
      </xsd:simpleType>
    </xsd:element>
    <xsd:element name="SetLabel" ma:index="46" nillable="true" ma:displayName="Set Label" ma:default="RETAIN" ma:hidden="true" ma:indexed="true" ma:internalName="SetLabel"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af8820d-5d77-49fd-a90f-de67c7df7ae1" elementFormDefault="qualified">
    <xsd:import namespace="http://schemas.microsoft.com/office/2006/documentManagement/types"/>
    <xsd:import namespace="http://schemas.microsoft.com/office/infopath/2007/PartnerControls"/>
    <xsd:element name="zMigrationID" ma:index="47" nillable="true" ma:displayName="zMigrationID" ma:hidden="true" ma:indexed="true" ma:internalName="zMigrationID" ma:readOnly="false">
      <xsd:simpleType>
        <xsd:restriction base="dms:Text">
          <xsd:maxLength value="255"/>
        </xsd:restriction>
      </xsd:simpleType>
    </xsd:element>
    <xsd:element name="zLegacy" ma:index="48" nillable="true" ma:displayName="zLegacy" ma:hidden="true" ma:internalName="zLegacy" ma:readOnly="false">
      <xsd:simpleType>
        <xsd:restriction base="dms:Note"/>
      </xsd:simpleType>
    </xsd:element>
    <xsd:element name="zLegacyJSON" ma:index="49" nillable="true" ma:displayName="zLegacyJSON" ma:hidden="true" ma:internalName="zLegacyJS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24bcf6-5ad5-413a-b6b4-3db2634f7b96" elementFormDefault="qualified">
    <xsd:import namespace="http://schemas.microsoft.com/office/2006/documentManagement/types"/>
    <xsd:import namespace="http://schemas.microsoft.com/office/infopath/2007/PartnerControls"/>
    <xsd:element name="Status" ma:index="50" nillable="true" ma:displayName="Status" ma:hidden="true" ma:internalName="Status" ma:readOnly="false">
      <xsd:simpleType>
        <xsd:restriction base="dms:Text">
          <xsd:maxLength value="255"/>
        </xsd:restriction>
      </xsd:simpleType>
    </xsd:element>
    <xsd:element name="RelatedConsent" ma:index="51" nillable="true" ma:displayName="Related Consent" ma:hidden="true" ma:internalName="RelatedConsent"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339226f-05a1-4fe4-bebf-41fdd87e6f3e" elementFormDefault="qualified">
    <xsd:import namespace="http://schemas.microsoft.com/office/2006/documentManagement/types"/>
    <xsd:import namespace="http://schemas.microsoft.com/office/infopath/2007/PartnerControls"/>
    <xsd:element name="ConsentID" ma:index="52" nillable="true" ma:displayName="ConsentID" ma:hidden="true" ma:internalName="ConsentID"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67a2f4-f7c3-4498-9443-74709da0f3db" elementFormDefault="qualified">
    <xsd:import namespace="http://schemas.microsoft.com/office/2006/documentManagement/types"/>
    <xsd:import namespace="http://schemas.microsoft.com/office/infopath/2007/PartnerControls"/>
    <xsd:element name="TransferredTimestamp" ma:index="53" nillable="true" ma:displayName="Transferred Timestamp" ma:hidden="true" ma:internalName="TransferredTimestamp"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1aa4d7-0041-433b-bddb-63839643dea5" elementFormDefault="qualified">
    <xsd:import namespace="http://schemas.microsoft.com/office/2006/documentManagement/types"/>
    <xsd:import namespace="http://schemas.microsoft.com/office/infopath/2007/PartnerControls"/>
    <xsd:element name="Links" ma:index="54" nillable="true" ma:displayName="Links" ma:internalName="Links"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f67f75e-f1e6-47ab-8d9a-b2f0a0443098" xsi:nil="true"/>
    <lcf76f155ced4ddcb4097134ff3c332f xmlns="4a89b0a4-ebbc-4fa4-a3b2-09d5d1e376bb" xsi:nil="true"/>
    <Subactivity xmlns="4f9c820c-e7e2-444d-97ee-45f2b3485c1d">Consents - Public Notification - Information for Website</Subactivity>
    <BusinessValue xmlns="4f9c820c-e7e2-444d-97ee-45f2b3485c1d" xsi:nil="true"/>
    <PRADateDisposal xmlns="4f9c820c-e7e2-444d-97ee-45f2b3485c1d" xsi:nil="true"/>
    <KeyWords xmlns="15ffb055-6eb4-45a1-bc20-bf2ac0d420da" xsi:nil="true"/>
    <SecurityClassification xmlns="15ffb055-6eb4-45a1-bc20-bf2ac0d420da" xsi:nil="true"/>
    <PRADate3 xmlns="4f9c820c-e7e2-444d-97ee-45f2b3485c1d" xsi:nil="true"/>
    <ConsentID xmlns="e339226f-05a1-4fe4-bebf-41fdd87e6f3e">RM24.184</ConsentID>
    <PRAText5 xmlns="4f9c820c-e7e2-444d-97ee-45f2b3485c1d" xsi:nil="true"/>
    <Level2 xmlns="c91a514c-9034-4fa3-897a-8352025b26ed">NA</Level2>
    <Activity xmlns="4f9c820c-e7e2-444d-97ee-45f2b3485c1d">Resource Consents 2024</Activity>
    <AggregationStatus xmlns="4f9c820c-e7e2-444d-97ee-45f2b3485c1d">Normal</AggregationStatus>
    <CategoryValue xmlns="4f9c820c-e7e2-444d-97ee-45f2b3485c1d">NA</CategoryValue>
    <PRADate2 xmlns="4f9c820c-e7e2-444d-97ee-45f2b3485c1d" xsi:nil="true"/>
    <SetLabel xmlns="c91a514c-9034-4fa3-897a-8352025b26ed">RETAIN</SetLabel>
    <Case xmlns="4f9c820c-e7e2-444d-97ee-45f2b3485c1d">RM24.184</Case>
    <PRAText1 xmlns="4f9c820c-e7e2-444d-97ee-45f2b3485c1d" xsi:nil="true"/>
    <PRAText4 xmlns="4f9c820c-e7e2-444d-97ee-45f2b3485c1d" xsi:nil="true"/>
    <Level3 xmlns="c91a514c-9034-4fa3-897a-8352025b26ed" xsi:nil="true"/>
    <Team xmlns="c91a514c-9034-4fa3-897a-8352025b26ed">Resource Consents</Team>
    <Project xmlns="4f9c820c-e7e2-444d-97ee-45f2b3485c1d">NA</Project>
    <zLegacy xmlns="7af8820d-5d77-49fd-a90f-de67c7df7ae1" xsi:nil="true"/>
    <FunctionGroup xmlns="4f9c820c-e7e2-444d-97ee-45f2b3485c1d">Regulatory</FunctionGroup>
    <Function xmlns="4f9c820c-e7e2-444d-97ee-45f2b3485c1d">Resource Consents</Function>
    <RelatedPeople xmlns="4f9c820c-e7e2-444d-97ee-45f2b3485c1d">
      <UserInfo>
        <DisplayName/>
        <AccountId xsi:nil="true"/>
        <AccountType/>
      </UserInfo>
    </RelatedPeople>
    <AggregationNarrative xmlns="725c79e5-42ce-4aa0-ac78-b6418001f0d2" xsi:nil="true"/>
    <Channel xmlns="c91a514c-9034-4fa3-897a-8352025b26ed">NA</Channel>
    <TransferredTimestamp xmlns="3e67a2f4-f7c3-4498-9443-74709da0f3db" xsi:nil="true"/>
    <PRAType xmlns="4f9c820c-e7e2-444d-97ee-45f2b3485c1d">Doc</PRAType>
    <PRADate1 xmlns="4f9c820c-e7e2-444d-97ee-45f2b3485c1d" xsi:nil="true"/>
    <DocumentType xmlns="4f9c820c-e7e2-444d-97ee-45f2b3485c1d" xsi:nil="true"/>
    <PRAText3 xmlns="4f9c820c-e7e2-444d-97ee-45f2b3485c1d" xsi:nil="true"/>
    <OverrideLabel xmlns="c91a514c-9034-4fa3-897a-8352025b26ed" xsi:nil="true"/>
    <RelatedConsent xmlns="6824bcf6-5ad5-413a-b6b4-3db2634f7b96" xsi:nil="true"/>
    <zLegacyJSON xmlns="7af8820d-5d77-49fd-a90f-de67c7df7ae1" xsi:nil="true"/>
    <Status xmlns="6824bcf6-5ad5-413a-b6b4-3db2634f7b96" xsi:nil="true"/>
    <Year xmlns="c91a514c-9034-4fa3-897a-8352025b26ed">2024</Year>
    <zMigrationID xmlns="7af8820d-5d77-49fd-a90f-de67c7df7ae1" xsi:nil="true"/>
    <Links xmlns="9d1aa4d7-0041-433b-bddb-63839643dea5" xsi:nil="true"/>
    <Narrative xmlns="4f9c820c-e7e2-444d-97ee-45f2b3485c1d" xsi:nil="true"/>
    <CategoryName xmlns="4f9c820c-e7e2-444d-97ee-45f2b3485c1d">NA</CategoryName>
    <PRADateTrigger xmlns="4f9c820c-e7e2-444d-97ee-45f2b3485c1d" xsi:nil="true"/>
    <PRAText2 xmlns="4f9c820c-e7e2-444d-97ee-45f2b3485c1d" xsi:nil="true"/>
    <_dlc_DocId xmlns="2f67f75e-f1e6-47ab-8d9a-b2f0a0443098">ResourceConsents-999859517-30123</_dlc_DocId>
    <_dlc_DocIdUrl xmlns="2f67f75e-f1e6-47ab-8d9a-b2f0a0443098">
      <Url>https://otagorc.sharepoint.com/sites/ResourceConsents/_layouts/15/DocIdRedir.aspx?ID=ResourceConsents-999859517-30123</Url>
      <Description>ResourceConsents-999859517-30123</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3D56F43-7346-43B8-A6D0-D5191F7E6989}">
  <ds:schemaRefs>
    <ds:schemaRef ds:uri="http://schemas.microsoft.com/sharepoint/v3/contenttype/forms"/>
  </ds:schemaRefs>
</ds:datastoreItem>
</file>

<file path=customXml/itemProps2.xml><?xml version="1.0" encoding="utf-8"?>
<ds:datastoreItem xmlns:ds="http://schemas.openxmlformats.org/officeDocument/2006/customXml" ds:itemID="{89CAE640-5AD3-4A1B-8F11-9EC0434F7947}"/>
</file>

<file path=customXml/itemProps3.xml><?xml version="1.0" encoding="utf-8"?>
<ds:datastoreItem xmlns:ds="http://schemas.openxmlformats.org/officeDocument/2006/customXml" ds:itemID="{EA3A2384-B4D1-40CB-8495-DDA7AAA7B8FB}">
  <ds:schemaRefs>
    <ds:schemaRef ds:uri="http://schemas.microsoft.com/office/2006/metadata/properties"/>
    <ds:schemaRef ds:uri="http://schemas.microsoft.com/office/infopath/2007/PartnerControls"/>
    <ds:schemaRef ds:uri="c4b8470a-9bc6-4323-82e7-25385d3fb8b4"/>
    <ds:schemaRef ds:uri="d314fd8d-3a0f-48a4-bbd3-3d57d92d6c9e"/>
  </ds:schemaRefs>
</ds:datastoreItem>
</file>

<file path=customXml/itemProps4.xml><?xml version="1.0" encoding="utf-8"?>
<ds:datastoreItem xmlns:ds="http://schemas.openxmlformats.org/officeDocument/2006/customXml" ds:itemID="{7D39AB40-29B4-48CF-AE56-A36D2D57564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Table of Contents</vt:lpstr>
      <vt:lpstr>Guide for Impact Model</vt:lpstr>
      <vt:lpstr>Guide for Offset Model</vt:lpstr>
      <vt:lpstr>Impact Model</vt:lpstr>
      <vt:lpstr>Offset Model </vt:lpstr>
      <vt:lpstr>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Biodiversity offsets accounting system</dc:title>
  <dc:creator>Matt Baber</dc:creator>
  <cp:lastModifiedBy>Mike Thorsen</cp:lastModifiedBy>
  <cp:lastPrinted>2014-03-28T06:32:42Z</cp:lastPrinted>
  <dcterms:created xsi:type="dcterms:W3CDTF">2014-03-24T04:00:43Z</dcterms:created>
  <dcterms:modified xsi:type="dcterms:W3CDTF">2025-02-04T22:17:21Z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0x010100BF0EC9A9B1A8434EA295AD184FAAAAC600C10E1B25A9B79E48A5C76C36D485F625</vt:lpwstr>
  </property>
  <property fmtid="{D5CDD505-2E9C-101B-9397-08002B2CF9AE}" pid="3" name="MediaServiceImageTags">
    <vt:lpwstr/>
  </property>
  <property fmtid="{D5CDD505-2E9C-101B-9397-08002B2CF9AE}" pid="4" name="MediaServiceImageTags0">
    <vt:lpwstr/>
  </property>
  <property fmtid="{D5CDD505-2E9C-101B-9397-08002B2CF9AE}" pid="5" name="_dlc_DocIdItemGuid">
    <vt:lpwstr>8644d95a-1d1f-415f-8ae5-8eecbd4edda5</vt:lpwstr>
  </property>
</Properties>
</file>